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6275" windowHeight="11820"/>
  </bookViews>
  <sheets>
    <sheet name="1-24 vs 2-28" sheetId="1" r:id="rId1"/>
    <sheet name="Changes by Outle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5" i="2" l="1"/>
  <c r="E45" i="2" s="1"/>
  <c r="D40" i="2"/>
  <c r="E40" i="2" s="1"/>
  <c r="B40" i="2"/>
  <c r="C40" i="2" s="1"/>
  <c r="D39" i="2"/>
  <c r="E39" i="2" s="1"/>
  <c r="H38" i="2"/>
  <c r="I38" i="2" s="1"/>
  <c r="D38" i="2"/>
  <c r="E38" i="2" s="1"/>
  <c r="B38" i="2"/>
  <c r="C38" i="2" s="1"/>
  <c r="H37" i="2"/>
  <c r="I37" i="2" s="1"/>
  <c r="H36" i="2"/>
  <c r="I36" i="2" s="1"/>
  <c r="D36" i="2"/>
  <c r="E36" i="2" s="1"/>
  <c r="H35" i="2"/>
  <c r="I35" i="2" s="1"/>
  <c r="H34" i="2"/>
  <c r="I34" i="2" s="1"/>
  <c r="F34" i="2"/>
  <c r="G34" i="2" s="1"/>
  <c r="H31" i="2"/>
  <c r="I31" i="2" s="1"/>
  <c r="F31" i="2"/>
  <c r="G31" i="2" s="1"/>
  <c r="H29" i="2"/>
  <c r="I29" i="2" s="1"/>
  <c r="D29" i="2"/>
  <c r="E29" i="2" s="1"/>
  <c r="B29" i="2"/>
  <c r="C29" i="2" s="1"/>
  <c r="H24" i="2"/>
  <c r="I24" i="2" s="1"/>
  <c r="H23" i="2"/>
  <c r="I23" i="2" s="1"/>
  <c r="F23" i="2"/>
  <c r="G23" i="2" s="1"/>
  <c r="D23" i="2"/>
  <c r="E23" i="2" s="1"/>
  <c r="L39" i="1"/>
  <c r="H48" i="1"/>
  <c r="B45" i="2" s="1"/>
  <c r="C45" i="2" s="1"/>
  <c r="J48" i="1"/>
  <c r="N55" i="1"/>
  <c r="O55" i="1" s="1"/>
  <c r="N54" i="1"/>
  <c r="O54" i="1" s="1"/>
  <c r="N53" i="1"/>
  <c r="O53" i="1" s="1"/>
  <c r="N52" i="1"/>
  <c r="O52" i="1" s="1"/>
  <c r="K47" i="1"/>
  <c r="H44" i="2" s="1"/>
  <c r="I47" i="1"/>
  <c r="H47" i="1"/>
  <c r="H44" i="1"/>
  <c r="K43" i="1"/>
  <c r="H40" i="2" s="1"/>
  <c r="I40" i="2" s="1"/>
  <c r="K42" i="1"/>
  <c r="H39" i="2" s="1"/>
  <c r="I39" i="2" s="1"/>
  <c r="J41" i="1"/>
  <c r="L41" i="1" s="1"/>
  <c r="I39" i="1"/>
  <c r="L38" i="1"/>
  <c r="H38" i="1"/>
  <c r="I37" i="1"/>
  <c r="L37" i="1" s="1"/>
  <c r="I34" i="1"/>
  <c r="L34" i="1" s="1"/>
  <c r="N34" i="1" s="1"/>
  <c r="O34" i="1" s="1"/>
  <c r="K33" i="1"/>
  <c r="H30" i="2" s="1"/>
  <c r="I30" i="2" s="1"/>
  <c r="H33" i="1"/>
  <c r="K31" i="1"/>
  <c r="J31" i="1"/>
  <c r="H30" i="1"/>
  <c r="I30" i="1"/>
  <c r="J29" i="1"/>
  <c r="I29" i="1"/>
  <c r="H29" i="1"/>
  <c r="I27" i="1"/>
  <c r="L27" i="1" s="1"/>
  <c r="H27" i="1"/>
  <c r="L26" i="1"/>
  <c r="H23" i="1"/>
  <c r="H22" i="1"/>
  <c r="I22" i="1"/>
  <c r="J22" i="1"/>
  <c r="K22" i="1"/>
  <c r="H21" i="1"/>
  <c r="H20" i="1"/>
  <c r="I20" i="1"/>
  <c r="K20" i="1"/>
  <c r="I19" i="1"/>
  <c r="K18" i="1"/>
  <c r="I18" i="1"/>
  <c r="H18" i="1"/>
  <c r="H17" i="1"/>
  <c r="K16" i="1"/>
  <c r="H16" i="1"/>
  <c r="H15" i="1"/>
  <c r="J15" i="1"/>
  <c r="I14" i="1"/>
  <c r="I50" i="1" s="1"/>
  <c r="H14" i="1"/>
  <c r="K48" i="1"/>
  <c r="K44" i="1"/>
  <c r="I44" i="1"/>
  <c r="J43" i="1"/>
  <c r="J42" i="1"/>
  <c r="L40" i="1"/>
  <c r="H39" i="1"/>
  <c r="J33" i="1"/>
  <c r="J32" i="1"/>
  <c r="L32" i="1" s="1"/>
  <c r="I31" i="1"/>
  <c r="H31" i="1"/>
  <c r="K30" i="1"/>
  <c r="K29" i="1"/>
  <c r="H28" i="1"/>
  <c r="L28" i="1" s="1"/>
  <c r="K23" i="1"/>
  <c r="J23" i="1"/>
  <c r="I23" i="1"/>
  <c r="K21" i="1"/>
  <c r="J21" i="1"/>
  <c r="I21" i="1"/>
  <c r="K19" i="1"/>
  <c r="H19" i="1"/>
  <c r="J18" i="1"/>
  <c r="K17" i="1"/>
  <c r="J17" i="1"/>
  <c r="I17" i="1"/>
  <c r="J16" i="1"/>
  <c r="I16" i="1"/>
  <c r="K15" i="1"/>
  <c r="I15" i="1"/>
  <c r="K14" i="1"/>
  <c r="J14" i="1"/>
  <c r="H11" i="2" l="1"/>
  <c r="H16" i="2"/>
  <c r="I16" i="2" s="1"/>
  <c r="B27" i="2"/>
  <c r="C27" i="2" s="1"/>
  <c r="F15" i="2"/>
  <c r="G15" i="2" s="1"/>
  <c r="B44" i="2"/>
  <c r="C44" i="2" s="1"/>
  <c r="H13" i="2"/>
  <c r="I13" i="2" s="1"/>
  <c r="B30" i="2"/>
  <c r="C30" i="2" s="1"/>
  <c r="H19" i="2"/>
  <c r="I19" i="2" s="1"/>
  <c r="B26" i="2"/>
  <c r="C26" i="2" s="1"/>
  <c r="L31" i="1"/>
  <c r="H50" i="1"/>
  <c r="D11" i="2"/>
  <c r="L22" i="1"/>
  <c r="L15" i="1"/>
  <c r="L19" i="1"/>
  <c r="L30" i="1"/>
  <c r="L18" i="1"/>
  <c r="O57" i="1"/>
  <c r="L42" i="1"/>
  <c r="L23" i="1"/>
  <c r="L29" i="1"/>
  <c r="L21" i="1"/>
  <c r="L14" i="1"/>
  <c r="L33" i="1"/>
  <c r="L17" i="1"/>
  <c r="L43" i="1"/>
  <c r="L44" i="1"/>
  <c r="L48" i="1"/>
  <c r="L47" i="1"/>
  <c r="L20" i="1"/>
  <c r="L16" i="1"/>
  <c r="B44" i="1"/>
  <c r="B41" i="2" s="1"/>
  <c r="C41" i="2" s="1"/>
  <c r="C44" i="1"/>
  <c r="D41" i="2" s="1"/>
  <c r="E41" i="2" s="1"/>
  <c r="E44" i="1"/>
  <c r="H41" i="2" s="1"/>
  <c r="I41" i="2" s="1"/>
  <c r="E48" i="1"/>
  <c r="H45" i="2" s="1"/>
  <c r="I45" i="2" s="1"/>
  <c r="D48" i="1"/>
  <c r="F45" i="2" s="1"/>
  <c r="G45" i="2" s="1"/>
  <c r="C47" i="1"/>
  <c r="D44" i="2" s="1"/>
  <c r="E44" i="2" s="1"/>
  <c r="B47" i="1"/>
  <c r="F39" i="1"/>
  <c r="B33" i="1"/>
  <c r="C33" i="1"/>
  <c r="D30" i="2" s="1"/>
  <c r="E30" i="2" s="1"/>
  <c r="D33" i="1"/>
  <c r="F30" i="2" s="1"/>
  <c r="G30" i="2" s="1"/>
  <c r="D43" i="1"/>
  <c r="B21" i="1"/>
  <c r="B18" i="2" s="1"/>
  <c r="C18" i="2" s="1"/>
  <c r="C21" i="1"/>
  <c r="D18" i="2" s="1"/>
  <c r="E18" i="2" s="1"/>
  <c r="D21" i="1"/>
  <c r="E21" i="1"/>
  <c r="H18" i="2" s="1"/>
  <c r="I18" i="2" s="1"/>
  <c r="B20" i="1"/>
  <c r="C20" i="1"/>
  <c r="D17" i="2" s="1"/>
  <c r="E17" i="2" s="1"/>
  <c r="E20" i="1"/>
  <c r="H17" i="2" s="1"/>
  <c r="I17" i="2" s="1"/>
  <c r="D42" i="1"/>
  <c r="F39" i="2" s="1"/>
  <c r="G39" i="2" s="1"/>
  <c r="D41" i="1"/>
  <c r="F41" i="1" s="1"/>
  <c r="N41" i="1" s="1"/>
  <c r="O41" i="1" s="1"/>
  <c r="C40" i="1"/>
  <c r="D37" i="2" s="1"/>
  <c r="E37" i="2" s="1"/>
  <c r="B39" i="1"/>
  <c r="B16" i="1"/>
  <c r="B13" i="2" s="1"/>
  <c r="C13" i="2" s="1"/>
  <c r="E16" i="1"/>
  <c r="D16" i="1"/>
  <c r="F13" i="2" s="1"/>
  <c r="G13" i="2" s="1"/>
  <c r="C16" i="1"/>
  <c r="D13" i="2" s="1"/>
  <c r="E13" i="2" s="1"/>
  <c r="B30" i="1"/>
  <c r="E30" i="1"/>
  <c r="H27" i="2" s="1"/>
  <c r="I27" i="2" s="1"/>
  <c r="C30" i="1"/>
  <c r="D27" i="2" s="1"/>
  <c r="E27" i="2" s="1"/>
  <c r="C23" i="1"/>
  <c r="D20" i="2" s="1"/>
  <c r="E20" i="2" s="1"/>
  <c r="D23" i="1"/>
  <c r="F20" i="2" s="1"/>
  <c r="G20" i="2" s="1"/>
  <c r="E23" i="1"/>
  <c r="H20" i="2" s="1"/>
  <c r="I20" i="2" s="1"/>
  <c r="E31" i="1"/>
  <c r="H28" i="2" s="1"/>
  <c r="I28" i="2" s="1"/>
  <c r="D31" i="1"/>
  <c r="F28" i="2" s="1"/>
  <c r="G28" i="2" s="1"/>
  <c r="C31" i="1"/>
  <c r="F38" i="1"/>
  <c r="N38" i="1" s="1"/>
  <c r="O38" i="1" s="1"/>
  <c r="C22" i="1"/>
  <c r="D19" i="2" s="1"/>
  <c r="E19" i="2" s="1"/>
  <c r="E22" i="1"/>
  <c r="D32" i="1"/>
  <c r="C28" i="1"/>
  <c r="D25" i="2" s="1"/>
  <c r="E25" i="2" s="1"/>
  <c r="B28" i="1"/>
  <c r="B25" i="2" s="1"/>
  <c r="C25" i="2" s="1"/>
  <c r="B22" i="1"/>
  <c r="B19" i="2" s="1"/>
  <c r="C19" i="2" s="1"/>
  <c r="B31" i="1"/>
  <c r="B23" i="1"/>
  <c r="B20" i="2" s="1"/>
  <c r="C20" i="2" s="1"/>
  <c r="F37" i="1"/>
  <c r="N37" i="1" s="1"/>
  <c r="O37" i="1" s="1"/>
  <c r="C37" i="1"/>
  <c r="B29" i="1"/>
  <c r="C29" i="1"/>
  <c r="D26" i="2" s="1"/>
  <c r="E26" i="2" s="1"/>
  <c r="F26" i="1"/>
  <c r="N26" i="1" s="1"/>
  <c r="O26" i="1" s="1"/>
  <c r="B19" i="1"/>
  <c r="B18" i="1"/>
  <c r="B15" i="2" s="1"/>
  <c r="C15" i="2" s="1"/>
  <c r="B17" i="1"/>
  <c r="B14" i="2" s="1"/>
  <c r="C14" i="2" s="1"/>
  <c r="C17" i="1"/>
  <c r="D14" i="2" s="1"/>
  <c r="E14" i="2" s="1"/>
  <c r="C27" i="1"/>
  <c r="F27" i="1" s="1"/>
  <c r="N27" i="1" s="1"/>
  <c r="O27" i="1" s="1"/>
  <c r="E29" i="1"/>
  <c r="H26" i="2" s="1"/>
  <c r="I26" i="2" s="1"/>
  <c r="C18" i="1"/>
  <c r="D15" i="2" s="1"/>
  <c r="E15" i="2" s="1"/>
  <c r="E17" i="1"/>
  <c r="H14" i="2" s="1"/>
  <c r="I14" i="2" s="1"/>
  <c r="E19" i="1"/>
  <c r="F19" i="1" s="1"/>
  <c r="E18" i="1"/>
  <c r="H15" i="2" s="1"/>
  <c r="I15" i="2" s="1"/>
  <c r="D18" i="1"/>
  <c r="D17" i="1"/>
  <c r="F14" i="2" s="1"/>
  <c r="G14" i="2" s="1"/>
  <c r="C15" i="1"/>
  <c r="B15" i="1"/>
  <c r="B12" i="2" s="1"/>
  <c r="C12" i="2" s="1"/>
  <c r="E14" i="1"/>
  <c r="E15" i="1"/>
  <c r="H12" i="2" s="1"/>
  <c r="I12" i="2" s="1"/>
  <c r="D15" i="1"/>
  <c r="F12" i="2" s="1"/>
  <c r="G12" i="2" s="1"/>
  <c r="D14" i="1"/>
  <c r="F11" i="2" s="1"/>
  <c r="B14" i="1"/>
  <c r="B11" i="2" s="1"/>
  <c r="B47" i="2" l="1"/>
  <c r="C11" i="2"/>
  <c r="G11" i="2"/>
  <c r="F43" i="1"/>
  <c r="F40" i="2"/>
  <c r="G40" i="2" s="1"/>
  <c r="E11" i="2"/>
  <c r="D24" i="2"/>
  <c r="E24" i="2" s="1"/>
  <c r="F32" i="1"/>
  <c r="N32" i="1" s="1"/>
  <c r="O32" i="1" s="1"/>
  <c r="F29" i="2"/>
  <c r="G29" i="2" s="1"/>
  <c r="F38" i="2"/>
  <c r="G38" i="2" s="1"/>
  <c r="I11" i="2"/>
  <c r="H47" i="2"/>
  <c r="F47" i="1"/>
  <c r="N39" i="1"/>
  <c r="O39" i="1" s="1"/>
  <c r="N19" i="1"/>
  <c r="O19" i="1" s="1"/>
  <c r="F28" i="1"/>
  <c r="N28" i="1" s="1"/>
  <c r="O28" i="1" s="1"/>
  <c r="F44" i="1"/>
  <c r="F42" i="1"/>
  <c r="N42" i="1" s="1"/>
  <c r="O42" i="1" s="1"/>
  <c r="N43" i="1"/>
  <c r="O43" i="1" s="1"/>
  <c r="F40" i="1"/>
  <c r="N40" i="1" s="1"/>
  <c r="O40" i="1" s="1"/>
  <c r="N44" i="1"/>
  <c r="O44" i="1" s="1"/>
  <c r="N47" i="1"/>
  <c r="O47" i="1" s="1"/>
  <c r="L50" i="1"/>
  <c r="F48" i="1"/>
  <c r="N48" i="1" s="1"/>
  <c r="O48" i="1" s="1"/>
  <c r="F33" i="1"/>
  <c r="N33" i="1" s="1"/>
  <c r="O33" i="1" s="1"/>
  <c r="F20" i="1"/>
  <c r="N20" i="1" s="1"/>
  <c r="O20" i="1" s="1"/>
  <c r="F21" i="1"/>
  <c r="N21" i="1" s="1"/>
  <c r="O21" i="1" s="1"/>
  <c r="F16" i="1"/>
  <c r="N16" i="1" s="1"/>
  <c r="O16" i="1" s="1"/>
  <c r="F31" i="1"/>
  <c r="N31" i="1" s="1"/>
  <c r="O31" i="1" s="1"/>
  <c r="F22" i="1"/>
  <c r="N22" i="1" s="1"/>
  <c r="O22" i="1" s="1"/>
  <c r="F30" i="1"/>
  <c r="N30" i="1" s="1"/>
  <c r="O30" i="1" s="1"/>
  <c r="F23" i="1"/>
  <c r="N23" i="1" s="1"/>
  <c r="O23" i="1" s="1"/>
  <c r="F29" i="1"/>
  <c r="N29" i="1" s="1"/>
  <c r="O29" i="1" s="1"/>
  <c r="F15" i="1"/>
  <c r="F18" i="1"/>
  <c r="N18" i="1" s="1"/>
  <c r="O18" i="1" s="1"/>
  <c r="F14" i="1"/>
  <c r="N14" i="1" s="1"/>
  <c r="O14" i="1" s="1"/>
  <c r="F17" i="1"/>
  <c r="N17" i="1" s="1"/>
  <c r="O17" i="1" s="1"/>
  <c r="D47" i="2" l="1"/>
  <c r="F47" i="2"/>
  <c r="AB50" i="1"/>
  <c r="F50" i="1"/>
  <c r="N50" i="1" s="1"/>
  <c r="O50" i="1" s="1"/>
  <c r="N15" i="1"/>
  <c r="O15" i="1" s="1"/>
</calcChain>
</file>

<file path=xl/sharedStrings.xml><?xml version="1.0" encoding="utf-8"?>
<sst xmlns="http://schemas.openxmlformats.org/spreadsheetml/2006/main" count="125" uniqueCount="59">
  <si>
    <t>Item</t>
  </si>
  <si>
    <t>Amz</t>
  </si>
  <si>
    <t>WM</t>
  </si>
  <si>
    <t>Costco</t>
  </si>
  <si>
    <t>Prepper Pantry Inflation Monitor</t>
  </si>
  <si>
    <t>Spam, 25% less Sodium, 12-oz</t>
  </si>
  <si>
    <t>Average</t>
  </si>
  <si>
    <t>Bushes Original Baked Beans, 16.5 oz</t>
  </si>
  <si>
    <t>Pinto beans, dry, 12 pounds</t>
  </si>
  <si>
    <t>25-pound bag of white all-purpose flour</t>
  </si>
  <si>
    <t>Spaghetti, 1 pound</t>
  </si>
  <si>
    <t>2 pounds brick of yeast</t>
  </si>
  <si>
    <t>Quaker Oats, old fashioned, per pound</t>
  </si>
  <si>
    <t>Lentils, brown, per pound</t>
  </si>
  <si>
    <t>Sam's</t>
  </si>
  <si>
    <t>Dry Goods</t>
  </si>
  <si>
    <t>Canned Goods</t>
  </si>
  <si>
    <t>25-pound bag of jasmine rice</t>
  </si>
  <si>
    <t>Baking Goods</t>
  </si>
  <si>
    <t>-</t>
  </si>
  <si>
    <t>Raisins, per ounce</t>
  </si>
  <si>
    <t>Black beans, 15 oz</t>
  </si>
  <si>
    <t>Chicken, 12.5 oz</t>
  </si>
  <si>
    <t>Paches, 15 oz</t>
  </si>
  <si>
    <t>Green Beans, 14.5 oz</t>
  </si>
  <si>
    <t>Coconut oil, per ounce</t>
  </si>
  <si>
    <t>Instant mashed potatoes, per ounce</t>
  </si>
  <si>
    <t xml:space="preserve">Tuna, per oz </t>
  </si>
  <si>
    <t>Paper Products</t>
  </si>
  <si>
    <t>33-gallon trash bag w/draw string</t>
  </si>
  <si>
    <t>Heating Fuel, per gallon</t>
  </si>
  <si>
    <t>Diesel Fuel, per gallon</t>
  </si>
  <si>
    <t>Unleaded regular gasoline, per gallon</t>
  </si>
  <si>
    <t>Propane, per gallon</t>
  </si>
  <si>
    <t>Powdered milk, instant, per gallon</t>
  </si>
  <si>
    <t>Chicken noodle soup, condensed</t>
  </si>
  <si>
    <t>Jif peanut butter, per 40 ounce jar</t>
  </si>
  <si>
    <t>Ramen, chicken, per 3 oz packet</t>
  </si>
  <si>
    <t>Buttermilk pancake mix, 5 pounds</t>
  </si>
  <si>
    <t>Mac and cheese, per 7.25 ounce box</t>
  </si>
  <si>
    <t>Baking powder, per ounce</t>
  </si>
  <si>
    <t>Pure vanilla extract, per ounce</t>
  </si>
  <si>
    <t>Chocolate chips, semi-sweet, per ounce</t>
  </si>
  <si>
    <t>Best price on first page was selected</t>
  </si>
  <si>
    <t>Fuel - National Average from eia.gov</t>
  </si>
  <si>
    <t>Scott's toilet paper, 1,000 piece roll</t>
  </si>
  <si>
    <t>Total</t>
  </si>
  <si>
    <t>By the Pickled Prepper, https://pickled-prepper.com/</t>
  </si>
  <si>
    <t>Copyright 2021 by the Pickled Prepper and 3P Services, LLC.  All rights reserved.</t>
  </si>
  <si>
    <t>Chili w/beans, 15 oz</t>
  </si>
  <si>
    <t>Amazon</t>
  </si>
  <si>
    <t>Walmart</t>
  </si>
  <si>
    <t>Change by Outlet, 2/28/21 vs 1/24/21</t>
  </si>
  <si>
    <t>Sam's Club</t>
  </si>
  <si>
    <t>Change in average cost</t>
  </si>
  <si>
    <t>Average increase</t>
  </si>
  <si>
    <t>All prices shopped online</t>
  </si>
  <si>
    <r>
      <t xml:space="preserve">Red </t>
    </r>
    <r>
      <rPr>
        <sz val="11"/>
        <color rgb="FFFF0000"/>
        <rFont val="Calibri"/>
        <family val="2"/>
        <scheme val="minor"/>
      </rPr>
      <t>numbers</t>
    </r>
    <r>
      <rPr>
        <sz val="11"/>
        <color theme="1"/>
        <rFont val="Calibri"/>
        <family val="2"/>
        <scheme val="minor"/>
      </rPr>
      <t xml:space="preserve"> are consider anomolies and are not included in calculated average</t>
    </r>
  </si>
  <si>
    <t>Total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</si>
</sst>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0" fontId="3" fillId="0" borderId="0" xfId="0" applyFont="1"/>
    <xf numFmtId="2" fontId="4" fillId="0" borderId="0" xfId="0" applyNumberFormat="1" applyFont="1"/>
    <xf numFmtId="2" fontId="0" fillId="0" borderId="0" xfId="0" quotePrefix="1" applyNumberFormat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2" fontId="6" fillId="0" borderId="0" xfId="0" applyNumberFormat="1" applyFont="1"/>
    <xf numFmtId="0" fontId="6" fillId="0" borderId="0" xfId="0" applyFont="1"/>
    <xf numFmtId="0" fontId="3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4" fontId="0" fillId="0" borderId="0" xfId="0" applyNumberFormat="1"/>
    <xf numFmtId="2" fontId="0" fillId="0" borderId="0" xfId="0" quotePrefix="1" applyNumberFormat="1" applyAlignment="1">
      <alignment horizontal="right"/>
    </xf>
    <xf numFmtId="2" fontId="0" fillId="0" borderId="0" xfId="0" applyNumberFormat="1" applyFont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quotePrefix="1" applyNumberFormat="1" applyAlignment="1">
      <alignment horizontal="center"/>
    </xf>
    <xf numFmtId="0" fontId="3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251"/>
  <sheetViews>
    <sheetView tabSelected="1" workbookViewId="0">
      <pane ySplit="12" topLeftCell="A13" activePane="bottomLeft" state="frozenSplit"/>
      <selection pane="bottomLeft" activeCell="A13" sqref="A13"/>
    </sheetView>
  </sheetViews>
  <sheetFormatPr defaultRowHeight="15" x14ac:dyDescent="0.25"/>
  <cols>
    <col min="1" max="1" width="35.85546875" customWidth="1"/>
    <col min="2" max="2" width="9.7109375" style="1" bestFit="1" customWidth="1"/>
    <col min="3" max="5" width="9.140625" style="1"/>
    <col min="7" max="7" width="5.85546875" customWidth="1"/>
    <col min="13" max="13" width="5.7109375" customWidth="1"/>
    <col min="15" max="15" width="9.140625" style="14"/>
    <col min="16" max="16" width="4.85546875" customWidth="1"/>
    <col min="19" max="19" width="4.85546875" customWidth="1"/>
  </cols>
  <sheetData>
    <row r="3" spans="1:18" ht="21" x14ac:dyDescent="0.35">
      <c r="A3" s="6" t="s">
        <v>4</v>
      </c>
    </row>
    <row r="5" spans="1:18" x14ac:dyDescent="0.25">
      <c r="A5" t="s">
        <v>47</v>
      </c>
    </row>
    <row r="7" spans="1:18" x14ac:dyDescent="0.25">
      <c r="A7" t="s">
        <v>43</v>
      </c>
    </row>
    <row r="8" spans="1:18" x14ac:dyDescent="0.25">
      <c r="A8" t="s">
        <v>56</v>
      </c>
    </row>
    <row r="9" spans="1:18" x14ac:dyDescent="0.25">
      <c r="A9" t="s">
        <v>57</v>
      </c>
    </row>
    <row r="11" spans="1:18" x14ac:dyDescent="0.25">
      <c r="B11" s="9">
        <v>44220</v>
      </c>
      <c r="C11" s="9"/>
      <c r="D11" s="9"/>
      <c r="E11" s="9"/>
      <c r="F11" s="9"/>
      <c r="H11" s="9">
        <v>44255</v>
      </c>
      <c r="I11" s="9"/>
      <c r="J11" s="9"/>
      <c r="K11" s="9"/>
      <c r="L11" s="9"/>
    </row>
    <row r="12" spans="1:18" s="7" customFormat="1" ht="15.75" x14ac:dyDescent="0.25">
      <c r="A12" s="7" t="s">
        <v>0</v>
      </c>
      <c r="B12" s="8" t="s">
        <v>1</v>
      </c>
      <c r="C12" s="8" t="s">
        <v>2</v>
      </c>
      <c r="D12" s="8" t="s">
        <v>3</v>
      </c>
      <c r="E12" s="8" t="s">
        <v>14</v>
      </c>
      <c r="F12" s="13" t="s">
        <v>6</v>
      </c>
      <c r="H12" s="8" t="s">
        <v>1</v>
      </c>
      <c r="I12" s="8" t="s">
        <v>2</v>
      </c>
      <c r="J12" s="8" t="s">
        <v>3</v>
      </c>
      <c r="K12" s="8" t="s">
        <v>14</v>
      </c>
      <c r="L12" s="13" t="s">
        <v>6</v>
      </c>
      <c r="N12" s="20" t="s">
        <v>54</v>
      </c>
      <c r="O12" s="20"/>
    </row>
    <row r="13" spans="1:18" ht="15.75" x14ac:dyDescent="0.25">
      <c r="A13" s="3" t="s">
        <v>16</v>
      </c>
      <c r="L13" s="11"/>
    </row>
    <row r="14" spans="1:18" x14ac:dyDescent="0.25">
      <c r="A14" t="s">
        <v>5</v>
      </c>
      <c r="B14" s="1">
        <f>35.04/12</f>
        <v>2.92</v>
      </c>
      <c r="C14" s="1">
        <v>2.92</v>
      </c>
      <c r="D14" s="1">
        <f>20.99/8</f>
        <v>2.6237499999999998</v>
      </c>
      <c r="E14" s="1">
        <f>19.24/8</f>
        <v>2.4049999999999998</v>
      </c>
      <c r="F14" s="10">
        <f>(B14+C14+D14+E14)/4</f>
        <v>2.7171874999999996</v>
      </c>
      <c r="H14" s="1">
        <f>42.42/12</f>
        <v>3.5350000000000001</v>
      </c>
      <c r="I14" s="2">
        <f>36.75/8</f>
        <v>4.59375</v>
      </c>
      <c r="J14" s="1">
        <f>20.99/8</f>
        <v>2.6237499999999998</v>
      </c>
      <c r="K14" s="1">
        <f>19.24/8</f>
        <v>2.4049999999999998</v>
      </c>
      <c r="L14" s="10">
        <f>(H14+J14+K14)/3</f>
        <v>2.8545833333333328</v>
      </c>
      <c r="N14" s="1">
        <f>L14-F14</f>
        <v>0.13739583333333316</v>
      </c>
      <c r="O14" s="14">
        <f>N14/F14</f>
        <v>5.0565459076097316E-2</v>
      </c>
      <c r="Q14" s="1"/>
      <c r="R14" s="14"/>
    </row>
    <row r="15" spans="1:18" x14ac:dyDescent="0.25">
      <c r="A15" t="s">
        <v>22</v>
      </c>
      <c r="B15" s="1">
        <f>53.5/24</f>
        <v>2.2291666666666665</v>
      </c>
      <c r="C15" s="2">
        <f>19.44/6</f>
        <v>3.24</v>
      </c>
      <c r="D15" s="1">
        <f>11.49/6</f>
        <v>1.915</v>
      </c>
      <c r="E15" s="1">
        <f>9.98/6</f>
        <v>1.6633333333333333</v>
      </c>
      <c r="F15" s="10">
        <f>(B15+D15+E15)/3</f>
        <v>1.9358333333333333</v>
      </c>
      <c r="H15" s="1">
        <f>52.1/24</f>
        <v>2.1708333333333334</v>
      </c>
      <c r="I15" s="2">
        <f>19.44/6</f>
        <v>3.24</v>
      </c>
      <c r="J15" s="1">
        <f>9.49/6</f>
        <v>1.5816666666666668</v>
      </c>
      <c r="K15" s="1">
        <f>9.98/6</f>
        <v>1.6633333333333333</v>
      </c>
      <c r="L15" s="10">
        <f>(H15+J15+K15)/3</f>
        <v>1.8052777777777778</v>
      </c>
      <c r="N15" s="1">
        <f>L15-F15</f>
        <v>-0.13055555555555554</v>
      </c>
      <c r="O15" s="14">
        <f>N15/F15</f>
        <v>-6.7441526761371787E-2</v>
      </c>
      <c r="Q15" s="1"/>
      <c r="R15" s="14"/>
    </row>
    <row r="16" spans="1:18" x14ac:dyDescent="0.25">
      <c r="A16" t="s">
        <v>27</v>
      </c>
      <c r="B16" s="1">
        <f>42.24/48/5</f>
        <v>0.17599999999999999</v>
      </c>
      <c r="C16" s="4">
        <f>6.84/8/5</f>
        <v>0.17099999999999999</v>
      </c>
      <c r="D16" s="1">
        <f>13.99/12/7</f>
        <v>0.16654761904761903</v>
      </c>
      <c r="E16" s="1">
        <f>9.88/12/5</f>
        <v>0.16466666666666668</v>
      </c>
      <c r="F16" s="10">
        <f>(B16+D16+E16)/3</f>
        <v>0.16907142857142854</v>
      </c>
      <c r="H16" s="1">
        <f>36.48/48/5</f>
        <v>0.15199999999999997</v>
      </c>
      <c r="I16" s="4">
        <f>6.84/8/5</f>
        <v>0.17099999999999999</v>
      </c>
      <c r="J16" s="1">
        <f>13.99/12/7</f>
        <v>0.16654761904761903</v>
      </c>
      <c r="K16" s="1">
        <f>9.88/12/5</f>
        <v>0.16466666666666668</v>
      </c>
      <c r="L16" s="10">
        <f>(H16+J16+K16)/3</f>
        <v>0.16107142857142856</v>
      </c>
      <c r="N16" s="1">
        <f>L16-F16</f>
        <v>-7.9999999999999793E-3</v>
      </c>
      <c r="O16" s="14">
        <f>N16/F16</f>
        <v>-4.7317279256442642E-2</v>
      </c>
      <c r="Q16" s="1"/>
      <c r="R16" s="14"/>
    </row>
    <row r="17" spans="1:18" x14ac:dyDescent="0.25">
      <c r="A17" t="s">
        <v>7</v>
      </c>
      <c r="B17" s="1">
        <f>14.39/8</f>
        <v>1.7987500000000001</v>
      </c>
      <c r="C17" s="1">
        <f>7.92/4</f>
        <v>1.98</v>
      </c>
      <c r="D17" s="1">
        <f>10.49/8</f>
        <v>1.31125</v>
      </c>
      <c r="E17" s="1">
        <f>8.97/8</f>
        <v>1.1212500000000001</v>
      </c>
      <c r="F17" s="10">
        <f>(B17+C17+D17+E17)/4</f>
        <v>1.5528124999999999</v>
      </c>
      <c r="H17" s="1">
        <f>13.9/8</f>
        <v>1.7375</v>
      </c>
      <c r="I17" s="1">
        <f>7.92/4</f>
        <v>1.98</v>
      </c>
      <c r="J17" s="1">
        <f>10.49/8</f>
        <v>1.31125</v>
      </c>
      <c r="K17" s="1">
        <f>8.97/8</f>
        <v>1.1212500000000001</v>
      </c>
      <c r="L17" s="10">
        <f>(H17+I17+J17+K17)/4</f>
        <v>1.5375000000000001</v>
      </c>
      <c r="N17" s="1">
        <f>L17-F17</f>
        <v>-1.531249999999984E-2</v>
      </c>
      <c r="O17" s="14">
        <f>N17/F17</f>
        <v>-9.8611390621854474E-3</v>
      </c>
      <c r="Q17" s="1"/>
      <c r="R17" s="14"/>
    </row>
    <row r="18" spans="1:18" x14ac:dyDescent="0.25">
      <c r="A18" t="s">
        <v>21</v>
      </c>
      <c r="B18" s="1">
        <f>7.83/6</f>
        <v>1.3049999999999999</v>
      </c>
      <c r="C18" s="1">
        <f>4.88/6</f>
        <v>0.81333333333333335</v>
      </c>
      <c r="D18" s="1">
        <f>7.99/8</f>
        <v>0.99875000000000003</v>
      </c>
      <c r="E18" s="1">
        <f>7.18/8</f>
        <v>0.89749999999999996</v>
      </c>
      <c r="F18" s="10">
        <f>(B18+C18+D18+E18)/4</f>
        <v>1.0036458333333333</v>
      </c>
      <c r="H18" s="1">
        <f>16.06/12</f>
        <v>1.3383333333333332</v>
      </c>
      <c r="I18" s="2">
        <f>9.99/6</f>
        <v>1.665</v>
      </c>
      <c r="J18" s="1">
        <f>7.99/8</f>
        <v>0.99875000000000003</v>
      </c>
      <c r="K18" s="1">
        <f>4.88/6</f>
        <v>0.81333333333333335</v>
      </c>
      <c r="L18" s="10">
        <f>(H18+J18+K18)/3</f>
        <v>1.050138888888889</v>
      </c>
      <c r="N18" s="1">
        <f>L18-F18</f>
        <v>4.6493055555555607E-2</v>
      </c>
      <c r="O18" s="14">
        <f>N18/F18</f>
        <v>4.6324165369313317E-2</v>
      </c>
      <c r="Q18" s="1"/>
      <c r="R18" s="14"/>
    </row>
    <row r="19" spans="1:18" x14ac:dyDescent="0.25">
      <c r="A19" t="s">
        <v>49</v>
      </c>
      <c r="B19" s="2">
        <f>15.7/6</f>
        <v>2.6166666666666667</v>
      </c>
      <c r="C19" s="1">
        <v>1.06</v>
      </c>
      <c r="D19" s="5" t="s">
        <v>19</v>
      </c>
      <c r="E19" s="1">
        <f>7.98/6</f>
        <v>1.33</v>
      </c>
      <c r="F19" s="10">
        <f>(C19+E19)/2</f>
        <v>1.1950000000000001</v>
      </c>
      <c r="H19" s="2">
        <f>15.7/6</f>
        <v>2.6166666666666667</v>
      </c>
      <c r="I19" s="2">
        <f>27.99/8</f>
        <v>3.4987499999999998</v>
      </c>
      <c r="J19" s="5" t="s">
        <v>19</v>
      </c>
      <c r="K19" s="1">
        <f>7.98/6</f>
        <v>1.33</v>
      </c>
      <c r="L19" s="10">
        <f>K19</f>
        <v>1.33</v>
      </c>
      <c r="N19" s="1">
        <f>L19-F19</f>
        <v>0.13500000000000001</v>
      </c>
      <c r="O19" s="14">
        <f>N19/F19</f>
        <v>0.11297071129707113</v>
      </c>
      <c r="Q19" s="1"/>
      <c r="R19" s="14"/>
    </row>
    <row r="20" spans="1:18" x14ac:dyDescent="0.25">
      <c r="A20" t="s">
        <v>23</v>
      </c>
      <c r="B20" s="2">
        <f>15.17/6</f>
        <v>2.5283333333333333</v>
      </c>
      <c r="C20" s="1">
        <f>9.76/6</f>
        <v>1.6266666666666667</v>
      </c>
      <c r="D20" s="5" t="s">
        <v>19</v>
      </c>
      <c r="E20" s="1">
        <f>8.28/6</f>
        <v>1.38</v>
      </c>
      <c r="F20" s="10">
        <f>(C20+E20)/2</f>
        <v>1.5033333333333334</v>
      </c>
      <c r="H20" s="2">
        <f>32.19/12</f>
        <v>2.6824999999999997</v>
      </c>
      <c r="I20" s="1">
        <f>4.48/3</f>
        <v>1.4933333333333334</v>
      </c>
      <c r="J20" s="5" t="s">
        <v>19</v>
      </c>
      <c r="K20" s="1">
        <f>6.98/6</f>
        <v>1.1633333333333333</v>
      </c>
      <c r="L20" s="10">
        <f>(I20+K20)/2</f>
        <v>1.3283333333333334</v>
      </c>
      <c r="N20" s="1">
        <f>L20-F20</f>
        <v>-0.17500000000000004</v>
      </c>
      <c r="O20" s="14">
        <f>N20/F20</f>
        <v>-0.11640798226164083</v>
      </c>
      <c r="Q20" s="1"/>
      <c r="R20" s="14"/>
    </row>
    <row r="21" spans="1:18" x14ac:dyDescent="0.25">
      <c r="A21" t="s">
        <v>24</v>
      </c>
      <c r="B21" s="1">
        <f>6.85/12</f>
        <v>0.5708333333333333</v>
      </c>
      <c r="C21" s="1">
        <f>5.98/12</f>
        <v>0.49833333333333335</v>
      </c>
      <c r="D21" s="2">
        <f>10.79/12</f>
        <v>0.89916666666666656</v>
      </c>
      <c r="E21" s="1">
        <f>6.78/12</f>
        <v>0.56500000000000006</v>
      </c>
      <c r="F21" s="10">
        <f>(B21+C21+E21)/3</f>
        <v>0.54472222222222222</v>
      </c>
      <c r="H21" s="1">
        <f>8.4/12</f>
        <v>0.70000000000000007</v>
      </c>
      <c r="I21" s="1">
        <f>5.98/12</f>
        <v>0.49833333333333335</v>
      </c>
      <c r="J21" s="2">
        <f>10.79/12</f>
        <v>0.89916666666666656</v>
      </c>
      <c r="K21" s="1">
        <f>6.78/12</f>
        <v>0.56500000000000006</v>
      </c>
      <c r="L21" s="10">
        <f>(H21+I21+K21)/3</f>
        <v>0.58777777777777784</v>
      </c>
      <c r="N21" s="1">
        <f>L21-F21</f>
        <v>4.3055555555555625E-2</v>
      </c>
      <c r="O21" s="14">
        <f>N21/F21</f>
        <v>7.9041305456399924E-2</v>
      </c>
      <c r="Q21" s="1"/>
      <c r="R21" s="14"/>
    </row>
    <row r="22" spans="1:18" x14ac:dyDescent="0.25">
      <c r="A22" t="s">
        <v>35</v>
      </c>
      <c r="B22" s="1">
        <f>13.99/12</f>
        <v>1.1658333333333333</v>
      </c>
      <c r="C22" s="1">
        <f>10.68/12</f>
        <v>0.89</v>
      </c>
      <c r="D22" s="5" t="s">
        <v>19</v>
      </c>
      <c r="E22" s="1">
        <f>8.98/12</f>
        <v>0.74833333333333341</v>
      </c>
      <c r="F22" s="10">
        <f>(B22+C22+E22)/3</f>
        <v>0.93472222222222223</v>
      </c>
      <c r="H22" s="1">
        <f>37.4/36</f>
        <v>1.0388888888888888</v>
      </c>
      <c r="I22" s="1">
        <f>13.95/12</f>
        <v>1.1624999999999999</v>
      </c>
      <c r="J22" s="15">
        <f>10.49/12</f>
        <v>0.87416666666666665</v>
      </c>
      <c r="K22" s="1">
        <f>9.98/12</f>
        <v>0.83166666666666667</v>
      </c>
      <c r="L22" s="10">
        <f>(H22+I22+K22)/3</f>
        <v>1.0110185185185183</v>
      </c>
      <c r="N22" s="1">
        <f>L22-F22</f>
        <v>7.6296296296296084E-2</v>
      </c>
      <c r="O22" s="14">
        <f>N22/F22</f>
        <v>8.1624566617136976E-2</v>
      </c>
      <c r="Q22" s="1"/>
      <c r="R22" s="14"/>
    </row>
    <row r="23" spans="1:18" x14ac:dyDescent="0.25">
      <c r="A23" t="s">
        <v>36</v>
      </c>
      <c r="B23" s="1">
        <f>10/2</f>
        <v>5</v>
      </c>
      <c r="C23" s="1">
        <f>10/2</f>
        <v>5</v>
      </c>
      <c r="D23" s="1">
        <f>10.49/2</f>
        <v>5.2450000000000001</v>
      </c>
      <c r="E23" s="1">
        <f>9.77/2</f>
        <v>4.8849999999999998</v>
      </c>
      <c r="F23" s="10">
        <f>(B23+C23+D23+E23)/4</f>
        <v>5.0325000000000006</v>
      </c>
      <c r="H23" s="2">
        <f>14.5/2</f>
        <v>7.25</v>
      </c>
      <c r="I23" s="1">
        <f>10/2</f>
        <v>5</v>
      </c>
      <c r="J23" s="1">
        <f>10.49/2</f>
        <v>5.2450000000000001</v>
      </c>
      <c r="K23" s="1">
        <f>9.77/2</f>
        <v>4.8849999999999998</v>
      </c>
      <c r="L23" s="10">
        <f>(I23+J23+K23)/3</f>
        <v>5.0433333333333339</v>
      </c>
      <c r="N23" s="1">
        <f>L23-F23</f>
        <v>1.083333333333325E-2</v>
      </c>
      <c r="O23" s="14">
        <f>N23/F23</f>
        <v>2.1526742838218079E-3</v>
      </c>
      <c r="Q23" s="1"/>
      <c r="R23" s="14"/>
    </row>
    <row r="24" spans="1:18" x14ac:dyDescent="0.25">
      <c r="B24" s="2"/>
      <c r="F24" s="10"/>
      <c r="H24" s="2"/>
      <c r="I24" s="1"/>
      <c r="J24" s="1"/>
      <c r="K24" s="1"/>
      <c r="L24" s="10"/>
    </row>
    <row r="25" spans="1:18" ht="15.75" x14ac:dyDescent="0.25">
      <c r="A25" s="3" t="s">
        <v>15</v>
      </c>
      <c r="F25" s="10"/>
      <c r="H25" s="1"/>
      <c r="I25" s="1"/>
      <c r="J25" s="1"/>
      <c r="K25" s="1"/>
      <c r="L25" s="10"/>
    </row>
    <row r="26" spans="1:18" x14ac:dyDescent="0.25">
      <c r="A26" t="s">
        <v>17</v>
      </c>
      <c r="B26" s="2">
        <v>26.58</v>
      </c>
      <c r="C26" s="1">
        <v>21.56</v>
      </c>
      <c r="D26" s="1">
        <v>21.99</v>
      </c>
      <c r="E26" s="1">
        <v>17.98</v>
      </c>
      <c r="F26" s="10">
        <f>(C26+D26+E26)/3</f>
        <v>20.51</v>
      </c>
      <c r="H26" s="4">
        <v>23.93</v>
      </c>
      <c r="I26" s="1">
        <v>21.56</v>
      </c>
      <c r="J26" s="1">
        <v>21.99</v>
      </c>
      <c r="K26" s="1">
        <v>16.46</v>
      </c>
      <c r="L26" s="10">
        <f>(H26+I26+J26+K26)/4</f>
        <v>20.984999999999999</v>
      </c>
      <c r="N26" s="1">
        <f>L26-F26</f>
        <v>0.47499999999999787</v>
      </c>
      <c r="O26" s="14">
        <f>N26/F26</f>
        <v>2.3159434422232953E-2</v>
      </c>
      <c r="Q26" s="1"/>
      <c r="R26" s="14"/>
    </row>
    <row r="27" spans="1:18" x14ac:dyDescent="0.25">
      <c r="A27" t="s">
        <v>8</v>
      </c>
      <c r="B27" s="2">
        <v>24.49</v>
      </c>
      <c r="C27" s="1">
        <f>5.98*1.5</f>
        <v>8.9700000000000006</v>
      </c>
      <c r="D27" s="5" t="s">
        <v>19</v>
      </c>
      <c r="E27" s="1">
        <v>7.86</v>
      </c>
      <c r="F27" s="10">
        <f>(C27+E27)/2</f>
        <v>8.4150000000000009</v>
      </c>
      <c r="H27" s="2">
        <f>5.28*6</f>
        <v>31.68</v>
      </c>
      <c r="I27" s="1">
        <f>5.98*1.5</f>
        <v>8.9700000000000006</v>
      </c>
      <c r="J27" s="5" t="s">
        <v>19</v>
      </c>
      <c r="K27" s="1">
        <v>7.86</v>
      </c>
      <c r="L27" s="10">
        <f>(I27+K27)/2</f>
        <v>8.4150000000000009</v>
      </c>
      <c r="N27" s="1">
        <f>L27-F27</f>
        <v>0</v>
      </c>
      <c r="O27" s="14">
        <f>N27/F27</f>
        <v>0</v>
      </c>
      <c r="Q27" s="1"/>
      <c r="R27" s="14"/>
    </row>
    <row r="28" spans="1:18" x14ac:dyDescent="0.25">
      <c r="A28" t="s">
        <v>13</v>
      </c>
      <c r="B28" s="1">
        <f>14.95/5</f>
        <v>2.9899999999999998</v>
      </c>
      <c r="C28" s="1">
        <f>4.88/4</f>
        <v>1.22</v>
      </c>
      <c r="D28" s="5" t="s">
        <v>19</v>
      </c>
      <c r="E28" s="5" t="s">
        <v>19</v>
      </c>
      <c r="F28" s="10">
        <f>(B28+C28)/2</f>
        <v>2.105</v>
      </c>
      <c r="H28" s="1">
        <f>14.95/5</f>
        <v>2.9899999999999998</v>
      </c>
      <c r="I28" s="1">
        <v>2.0299999999999998</v>
      </c>
      <c r="J28" s="5" t="s">
        <v>19</v>
      </c>
      <c r="K28" s="5" t="s">
        <v>19</v>
      </c>
      <c r="L28" s="10">
        <f>(H28+I28)/2</f>
        <v>2.5099999999999998</v>
      </c>
      <c r="N28" s="1">
        <f>L28-F28</f>
        <v>0.4049999999999998</v>
      </c>
      <c r="O28" s="14">
        <f>N28/F28</f>
        <v>0.19239904988123507</v>
      </c>
      <c r="Q28" s="1"/>
      <c r="R28" s="14"/>
    </row>
    <row r="29" spans="1:18" x14ac:dyDescent="0.25">
      <c r="A29" t="s">
        <v>37</v>
      </c>
      <c r="B29" s="1">
        <f>16.1/48</f>
        <v>0.3354166666666667</v>
      </c>
      <c r="C29" s="1">
        <f>5.54/12</f>
        <v>0.46166666666666667</v>
      </c>
      <c r="D29" s="5" t="s">
        <v>19</v>
      </c>
      <c r="E29" s="1">
        <f>8.28/48</f>
        <v>0.17249999999999999</v>
      </c>
      <c r="F29" s="10">
        <f>(B29+C29+E29)/3</f>
        <v>0.32319444444444445</v>
      </c>
      <c r="H29" s="1">
        <f>15.1/48</f>
        <v>0.31458333333333333</v>
      </c>
      <c r="I29" s="1">
        <f>2.27/12</f>
        <v>0.18916666666666668</v>
      </c>
      <c r="J29" s="5">
        <f>9.49/48</f>
        <v>0.19770833333333335</v>
      </c>
      <c r="K29" s="1">
        <f>8.28/48</f>
        <v>0.17249999999999999</v>
      </c>
      <c r="L29" s="10">
        <f>(H29+I29+J29+K29)/4</f>
        <v>0.21848958333333335</v>
      </c>
      <c r="N29" s="1">
        <f>L29-F29</f>
        <v>-0.1047048611111111</v>
      </c>
      <c r="O29" s="14">
        <f>N29/F29</f>
        <v>-0.32396862913622687</v>
      </c>
      <c r="Q29" s="1"/>
      <c r="R29" s="14"/>
    </row>
    <row r="30" spans="1:18" x14ac:dyDescent="0.25">
      <c r="A30" t="s">
        <v>10</v>
      </c>
      <c r="B30" s="1">
        <f>3.99/3</f>
        <v>1.33</v>
      </c>
      <c r="C30" s="1">
        <f>7.93/12</f>
        <v>0.66083333333333327</v>
      </c>
      <c r="D30" s="5" t="s">
        <v>19</v>
      </c>
      <c r="E30" s="1">
        <f>6.54/6</f>
        <v>1.0900000000000001</v>
      </c>
      <c r="F30" s="10">
        <f>(B30+C30+E30)/3</f>
        <v>1.0269444444444444</v>
      </c>
      <c r="H30" s="1">
        <f>8.99/8</f>
        <v>1.12375</v>
      </c>
      <c r="I30" s="1">
        <f>5.14/8</f>
        <v>0.64249999999999996</v>
      </c>
      <c r="J30" s="5" t="s">
        <v>19</v>
      </c>
      <c r="K30" s="1">
        <f>6.54/6</f>
        <v>1.0900000000000001</v>
      </c>
      <c r="L30" s="10">
        <f>(H30+I30+K30)/3</f>
        <v>0.95208333333333339</v>
      </c>
      <c r="N30" s="1">
        <f>L30-F30</f>
        <v>-7.4861111111111045E-2</v>
      </c>
      <c r="O30" s="14">
        <f>N30/F30</f>
        <v>-7.2896943467676431E-2</v>
      </c>
      <c r="Q30" s="1"/>
      <c r="R30" s="14"/>
    </row>
    <row r="31" spans="1:18" x14ac:dyDescent="0.25">
      <c r="A31" t="s">
        <v>12</v>
      </c>
      <c r="B31" s="2">
        <f>11.39/8</f>
        <v>1.4237500000000001</v>
      </c>
      <c r="C31" s="2">
        <f>11.39/8</f>
        <v>1.4237500000000001</v>
      </c>
      <c r="D31" s="1">
        <f>9.49/10</f>
        <v>0.94900000000000007</v>
      </c>
      <c r="E31" s="1">
        <f>8.12/10</f>
        <v>0.81199999999999994</v>
      </c>
      <c r="F31" s="10">
        <f>(D31+E31)/2</f>
        <v>0.88050000000000006</v>
      </c>
      <c r="H31" s="2">
        <f>11.39/8</f>
        <v>1.4237500000000001</v>
      </c>
      <c r="I31" s="2">
        <f>11.39/8</f>
        <v>1.4237500000000001</v>
      </c>
      <c r="J31" s="1">
        <f>7.19/10</f>
        <v>0.71900000000000008</v>
      </c>
      <c r="K31" s="1">
        <f>8.98/10</f>
        <v>0.89800000000000002</v>
      </c>
      <c r="L31" s="10">
        <f>(J31+K31)/2</f>
        <v>0.8085</v>
      </c>
      <c r="N31" s="1">
        <f>L31-F31</f>
        <v>-7.2000000000000064E-2</v>
      </c>
      <c r="O31" s="14">
        <f>N31/F31</f>
        <v>-8.1771720613287968E-2</v>
      </c>
      <c r="Q31" s="1"/>
      <c r="R31" s="14"/>
    </row>
    <row r="32" spans="1:18" x14ac:dyDescent="0.25">
      <c r="A32" t="s">
        <v>38</v>
      </c>
      <c r="B32" s="1">
        <v>5.86</v>
      </c>
      <c r="C32" s="1">
        <v>4.9800000000000004</v>
      </c>
      <c r="D32" s="1">
        <f>6.99/2</f>
        <v>3.4950000000000001</v>
      </c>
      <c r="E32" s="1">
        <v>5.48</v>
      </c>
      <c r="F32" s="10">
        <f>(B32+C32+D32+E32)/4</f>
        <v>4.9537500000000003</v>
      </c>
      <c r="H32" s="1">
        <v>6</v>
      </c>
      <c r="I32" s="1">
        <v>4.9800000000000004</v>
      </c>
      <c r="J32" s="1">
        <f>6.99/2</f>
        <v>3.4950000000000001</v>
      </c>
      <c r="K32" s="1">
        <v>5.98</v>
      </c>
      <c r="L32" s="10">
        <f>(H32+I32+J32+K32)/4</f>
        <v>5.1137500000000005</v>
      </c>
      <c r="N32" s="1">
        <f>L32-F32</f>
        <v>0.16000000000000014</v>
      </c>
      <c r="O32" s="14">
        <f>N32/F32</f>
        <v>3.2298763562957383E-2</v>
      </c>
      <c r="Q32" s="1"/>
      <c r="R32" s="14"/>
    </row>
    <row r="33" spans="1:18" x14ac:dyDescent="0.25">
      <c r="A33" t="s">
        <v>39</v>
      </c>
      <c r="B33" s="1">
        <f>5.19/5</f>
        <v>1.038</v>
      </c>
      <c r="C33" s="1">
        <f>4.5/5</f>
        <v>0.9</v>
      </c>
      <c r="D33" s="1">
        <f>15.99/18</f>
        <v>0.88833333333333331</v>
      </c>
      <c r="E33" s="1">
        <v>0.78</v>
      </c>
      <c r="F33" s="10">
        <f>(B33+C33+D33+E33)/4</f>
        <v>0.9015833333333334</v>
      </c>
      <c r="H33" s="1">
        <f>5.02/6</f>
        <v>0.83666666666666656</v>
      </c>
      <c r="I33" s="1">
        <v>0.96</v>
      </c>
      <c r="J33" s="1">
        <f>15.99/18</f>
        <v>0.88833333333333331</v>
      </c>
      <c r="K33" s="1">
        <f>12.88/18</f>
        <v>0.71555555555555561</v>
      </c>
      <c r="L33" s="10">
        <f>(H33+I33+J33+K33)/4</f>
        <v>0.85013888888888878</v>
      </c>
      <c r="N33" s="1">
        <f>L33-F33</f>
        <v>-5.1444444444444626E-2</v>
      </c>
      <c r="O33" s="14">
        <f>N33/F33</f>
        <v>-5.7060110299781447E-2</v>
      </c>
      <c r="Q33" s="1"/>
      <c r="R33" s="14"/>
    </row>
    <row r="34" spans="1:18" x14ac:dyDescent="0.25">
      <c r="A34" t="s">
        <v>26</v>
      </c>
      <c r="B34" s="5" t="s">
        <v>19</v>
      </c>
      <c r="C34" s="5" t="s">
        <v>19</v>
      </c>
      <c r="D34" s="1">
        <v>0.13</v>
      </c>
      <c r="E34" s="1">
        <v>0.13</v>
      </c>
      <c r="F34" s="11">
        <v>0.13</v>
      </c>
      <c r="H34" s="2">
        <v>0.22</v>
      </c>
      <c r="I34" s="1">
        <f>7.15/3/26.7</f>
        <v>8.9263420724094877E-2</v>
      </c>
      <c r="J34" s="1">
        <v>0.13</v>
      </c>
      <c r="K34" s="1">
        <v>0.13</v>
      </c>
      <c r="L34" s="10">
        <f>(I34+J34+K34)/3</f>
        <v>0.11642114024136496</v>
      </c>
      <c r="N34" s="1">
        <f>L34-F34</f>
        <v>-1.3578859758635042E-2</v>
      </c>
      <c r="O34" s="14">
        <f>N34/F34</f>
        <v>-0.10445276737411571</v>
      </c>
      <c r="Q34" s="1"/>
      <c r="R34" s="14"/>
    </row>
    <row r="35" spans="1:18" x14ac:dyDescent="0.25">
      <c r="F35" s="10"/>
      <c r="H35" s="1"/>
      <c r="I35" s="1"/>
      <c r="J35" s="1"/>
      <c r="K35" s="1"/>
      <c r="L35" s="10"/>
    </row>
    <row r="36" spans="1:18" ht="15.75" x14ac:dyDescent="0.25">
      <c r="A36" s="3" t="s">
        <v>18</v>
      </c>
      <c r="F36" s="10"/>
      <c r="H36" s="1"/>
      <c r="I36" s="1"/>
      <c r="J36" s="1"/>
      <c r="K36" s="1"/>
      <c r="L36" s="10"/>
    </row>
    <row r="37" spans="1:18" x14ac:dyDescent="0.25">
      <c r="A37" t="s">
        <v>9</v>
      </c>
      <c r="B37" s="2">
        <v>35.880000000000003</v>
      </c>
      <c r="C37" s="2">
        <f>(5.98*2.5)</f>
        <v>14.950000000000001</v>
      </c>
      <c r="D37" s="1">
        <v>7.49</v>
      </c>
      <c r="E37" s="1">
        <v>6.48</v>
      </c>
      <c r="F37" s="10">
        <f>(D37+E37)/2</f>
        <v>6.9850000000000003</v>
      </c>
      <c r="H37" s="2">
        <v>30.5</v>
      </c>
      <c r="I37" s="16">
        <f>5.98*1.25</f>
        <v>7.4750000000000005</v>
      </c>
      <c r="J37" s="1">
        <v>7.49</v>
      </c>
      <c r="K37" s="1">
        <v>6.48</v>
      </c>
      <c r="L37" s="10">
        <f>(I37+J37+K37)/3</f>
        <v>7.1483333333333334</v>
      </c>
      <c r="N37" s="1">
        <f>L37-F37</f>
        <v>0.16333333333333311</v>
      </c>
      <c r="O37" s="14">
        <f>N37/F37</f>
        <v>2.3383440706275318E-2</v>
      </c>
      <c r="Q37" s="1"/>
      <c r="R37" s="14"/>
    </row>
    <row r="38" spans="1:18" x14ac:dyDescent="0.25">
      <c r="A38" t="s">
        <v>11</v>
      </c>
      <c r="B38" s="2">
        <v>11.99</v>
      </c>
      <c r="C38" s="2">
        <v>10.26</v>
      </c>
      <c r="D38" s="1">
        <v>4.99</v>
      </c>
      <c r="E38" s="1">
        <v>4.9800000000000004</v>
      </c>
      <c r="F38" s="10">
        <f>(D38+E38)/2</f>
        <v>4.9850000000000003</v>
      </c>
      <c r="H38" s="2">
        <f>6.9*2</f>
        <v>13.8</v>
      </c>
      <c r="I38" s="2">
        <v>10.26</v>
      </c>
      <c r="J38" s="17" t="s">
        <v>19</v>
      </c>
      <c r="K38" s="1">
        <v>4.9800000000000004</v>
      </c>
      <c r="L38" s="10">
        <f>K38</f>
        <v>4.9800000000000004</v>
      </c>
      <c r="N38" s="1">
        <f>L38-F38</f>
        <v>-4.9999999999998934E-3</v>
      </c>
      <c r="O38" s="14">
        <f>N38/F38</f>
        <v>-1.0030090270812223E-3</v>
      </c>
      <c r="Q38" s="1"/>
      <c r="R38" s="14"/>
    </row>
    <row r="39" spans="1:18" x14ac:dyDescent="0.25">
      <c r="A39" t="s">
        <v>40</v>
      </c>
      <c r="B39" s="2">
        <f>12.99/(16*2.2)</f>
        <v>0.36903409090909089</v>
      </c>
      <c r="C39" s="1">
        <v>0.12</v>
      </c>
      <c r="D39" s="5" t="s">
        <v>19</v>
      </c>
      <c r="E39" s="1">
        <v>0.11</v>
      </c>
      <c r="F39" s="10">
        <f>(C39+E39)/2</f>
        <v>0.11499999999999999</v>
      </c>
      <c r="H39" s="2">
        <f>12.99/(16*2.2)</f>
        <v>0.36903409090909089</v>
      </c>
      <c r="I39" s="2">
        <f>7.57/28</f>
        <v>0.27035714285714285</v>
      </c>
      <c r="J39" s="5" t="s">
        <v>19</v>
      </c>
      <c r="K39" s="1">
        <v>0.11</v>
      </c>
      <c r="L39" s="10">
        <f>K39</f>
        <v>0.11</v>
      </c>
      <c r="N39" s="1">
        <f>L39-F39</f>
        <v>-4.9999999999999906E-3</v>
      </c>
      <c r="O39" s="14">
        <f>N39/F39</f>
        <v>-4.347826086956514E-2</v>
      </c>
      <c r="Q39" s="1"/>
      <c r="R39" s="14"/>
    </row>
    <row r="40" spans="1:18" x14ac:dyDescent="0.25">
      <c r="A40" t="s">
        <v>41</v>
      </c>
      <c r="B40" s="2">
        <v>3.94</v>
      </c>
      <c r="C40" s="1">
        <f>9.69/4</f>
        <v>2.4224999999999999</v>
      </c>
      <c r="D40" s="5" t="s">
        <v>19</v>
      </c>
      <c r="E40" s="1">
        <v>2.19</v>
      </c>
      <c r="F40" s="10">
        <f>(C40+E40)/2</f>
        <v>2.3062499999999999</v>
      </c>
      <c r="H40" s="2">
        <v>1</v>
      </c>
      <c r="I40" s="1">
        <v>2</v>
      </c>
      <c r="J40" s="5">
        <v>1.88</v>
      </c>
      <c r="K40" s="1">
        <v>2.19</v>
      </c>
      <c r="L40" s="10">
        <f>(I40+K40)/2</f>
        <v>2.0949999999999998</v>
      </c>
      <c r="N40" s="1">
        <f>L40-F40</f>
        <v>-0.21125000000000016</v>
      </c>
      <c r="O40" s="14">
        <f>N40/F40</f>
        <v>-9.1598915989159965E-2</v>
      </c>
      <c r="Q40" s="1"/>
      <c r="R40" s="14"/>
    </row>
    <row r="41" spans="1:18" x14ac:dyDescent="0.25">
      <c r="A41" t="s">
        <v>42</v>
      </c>
      <c r="B41" s="1">
        <v>0.24</v>
      </c>
      <c r="C41" s="1">
        <v>0.19</v>
      </c>
      <c r="D41" s="1">
        <f>11.99/(4.5*16)</f>
        <v>0.16652777777777777</v>
      </c>
      <c r="E41" s="1">
        <v>0.14000000000000001</v>
      </c>
      <c r="F41" s="10">
        <f>(B41+C41+D41+E41)/4</f>
        <v>0.18413194444444445</v>
      </c>
      <c r="H41" s="1">
        <v>0.23</v>
      </c>
      <c r="I41" s="1">
        <v>0.23</v>
      </c>
      <c r="J41" s="1">
        <f>12.39/(4.5*16)</f>
        <v>0.17208333333333334</v>
      </c>
      <c r="K41" s="1">
        <v>0.14000000000000001</v>
      </c>
      <c r="L41" s="10">
        <f>(H41+I41+J41+K41)/4</f>
        <v>0.19302083333333334</v>
      </c>
      <c r="N41" s="1">
        <f>L41-F41</f>
        <v>8.8888888888888906E-3</v>
      </c>
      <c r="O41" s="14">
        <f>N41/F41</f>
        <v>4.8274561568923263E-2</v>
      </c>
      <c r="Q41" s="1"/>
      <c r="R41" s="14"/>
    </row>
    <row r="42" spans="1:18" x14ac:dyDescent="0.25">
      <c r="A42" t="s">
        <v>20</v>
      </c>
      <c r="B42" s="2">
        <v>0.3</v>
      </c>
      <c r="C42" s="1">
        <v>0.15</v>
      </c>
      <c r="D42" s="1">
        <f>10.49/(16*4.5)</f>
        <v>0.14569444444444446</v>
      </c>
      <c r="E42" s="1">
        <v>0.1</v>
      </c>
      <c r="F42" s="10">
        <f>(C42+D42+E42)/3</f>
        <v>0.13189814814814815</v>
      </c>
      <c r="H42" s="2">
        <v>0.28999999999999998</v>
      </c>
      <c r="I42" s="1">
        <v>0.15</v>
      </c>
      <c r="J42" s="1">
        <f>10.49/(16*4.5)</f>
        <v>0.14569444444444446</v>
      </c>
      <c r="K42" s="1">
        <f>8.98/60</f>
        <v>0.14966666666666667</v>
      </c>
      <c r="L42" s="10">
        <f>(I42+J42+K42)/3</f>
        <v>0.14845370370370373</v>
      </c>
      <c r="N42" s="1">
        <f>L42-F42</f>
        <v>1.6555555555555573E-2</v>
      </c>
      <c r="O42" s="14">
        <f>N42/F42</f>
        <v>0.12551772551772564</v>
      </c>
      <c r="Q42" s="1"/>
      <c r="R42" s="14"/>
    </row>
    <row r="43" spans="1:18" x14ac:dyDescent="0.25">
      <c r="A43" t="s">
        <v>25</v>
      </c>
      <c r="B43" s="1">
        <v>0.21</v>
      </c>
      <c r="C43" s="1">
        <v>0.18</v>
      </c>
      <c r="D43" s="1">
        <f>15.99/84</f>
        <v>0.19035714285714286</v>
      </c>
      <c r="E43" s="1">
        <v>0.14000000000000001</v>
      </c>
      <c r="F43" s="10">
        <f>(B43+C43+D43+E43)/4</f>
        <v>0.18008928571428573</v>
      </c>
      <c r="H43" s="1">
        <v>0.23</v>
      </c>
      <c r="I43" s="2">
        <v>0.33</v>
      </c>
      <c r="J43" s="1">
        <f>15.99/84</f>
        <v>0.19035714285714286</v>
      </c>
      <c r="K43" s="1">
        <f>7.84/56</f>
        <v>0.13999999999999999</v>
      </c>
      <c r="L43" s="10">
        <f>(H43+J43+K43)/3</f>
        <v>0.1867857142857143</v>
      </c>
      <c r="N43" s="1">
        <f>L43-F43</f>
        <v>6.6964285714285754E-3</v>
      </c>
      <c r="O43" s="14">
        <f>N43/F43</f>
        <v>3.7183936539414993E-2</v>
      </c>
      <c r="Q43" s="1"/>
      <c r="R43" s="14"/>
    </row>
    <row r="44" spans="1:18" x14ac:dyDescent="0.25">
      <c r="A44" t="s">
        <v>34</v>
      </c>
      <c r="B44" s="1">
        <f>23.88/(18/4)</f>
        <v>5.3066666666666666</v>
      </c>
      <c r="C44" s="1">
        <f>15.98/5</f>
        <v>3.1960000000000002</v>
      </c>
      <c r="D44" s="5" t="s">
        <v>19</v>
      </c>
      <c r="E44" s="1">
        <f>14.98/(22/4)</f>
        <v>2.7236363636363636</v>
      </c>
      <c r="F44" s="10">
        <f>(B44+C44+E44)/4</f>
        <v>2.8065757575757573</v>
      </c>
      <c r="H44" s="1">
        <f>12.56/(53/16)</f>
        <v>3.7916981132075471</v>
      </c>
      <c r="I44" s="1">
        <f>15.98/5</f>
        <v>3.1960000000000002</v>
      </c>
      <c r="J44" s="5" t="s">
        <v>19</v>
      </c>
      <c r="K44" s="1">
        <f>14.98/(22/4)</f>
        <v>2.7236363636363636</v>
      </c>
      <c r="L44" s="10">
        <f>(H44+I44+K44)/4</f>
        <v>2.4278336192109777</v>
      </c>
      <c r="N44" s="1">
        <f>L44-F44</f>
        <v>-0.37874213836477955</v>
      </c>
      <c r="O44" s="14">
        <f>N44/F44</f>
        <v>-0.13494812578724993</v>
      </c>
      <c r="Q44" s="1"/>
      <c r="R44" s="14"/>
    </row>
    <row r="45" spans="1:18" x14ac:dyDescent="0.25">
      <c r="F45" s="10"/>
      <c r="H45" s="1"/>
      <c r="I45" s="1"/>
      <c r="J45" s="1"/>
      <c r="K45" s="1"/>
      <c r="L45" s="10"/>
    </row>
    <row r="46" spans="1:18" ht="15.75" x14ac:dyDescent="0.25">
      <c r="A46" s="3" t="s">
        <v>28</v>
      </c>
      <c r="F46" s="10"/>
      <c r="H46" s="1"/>
      <c r="I46" s="1"/>
      <c r="J46" s="1"/>
      <c r="K46" s="1"/>
      <c r="L46" s="10"/>
    </row>
    <row r="47" spans="1:18" x14ac:dyDescent="0.25">
      <c r="A47" t="s">
        <v>45</v>
      </c>
      <c r="B47" s="1">
        <f>31.45/36</f>
        <v>0.87361111111111112</v>
      </c>
      <c r="C47" s="1">
        <f>13.97/20</f>
        <v>0.69850000000000001</v>
      </c>
      <c r="D47" s="5" t="s">
        <v>19</v>
      </c>
      <c r="E47" s="1">
        <v>0.64</v>
      </c>
      <c r="F47" s="10">
        <f>(B47+C47+E47)/3</f>
        <v>0.73737037037037034</v>
      </c>
      <c r="H47" s="1">
        <f>22.78/32</f>
        <v>0.71187500000000004</v>
      </c>
      <c r="I47" s="1">
        <f>22.78/32</f>
        <v>0.71187500000000004</v>
      </c>
      <c r="J47" s="5" t="s">
        <v>19</v>
      </c>
      <c r="K47" s="1">
        <f>22.98/36</f>
        <v>0.63833333333333331</v>
      </c>
      <c r="L47" s="10">
        <f>(H47+I47+K47)/3</f>
        <v>0.68736111111111109</v>
      </c>
      <c r="N47" s="1">
        <f>L47-F47</f>
        <v>-5.0009259259259253E-2</v>
      </c>
      <c r="O47" s="14">
        <f>N47/F47</f>
        <v>-6.7821085941031686E-2</v>
      </c>
      <c r="Q47" s="1"/>
      <c r="R47" s="14"/>
    </row>
    <row r="48" spans="1:18" x14ac:dyDescent="0.25">
      <c r="A48" t="s">
        <v>29</v>
      </c>
      <c r="B48" s="1">
        <v>0.23</v>
      </c>
      <c r="C48" s="1">
        <v>0.27</v>
      </c>
      <c r="D48" s="1">
        <f>18.99/90</f>
        <v>0.21099999999999999</v>
      </c>
      <c r="E48" s="1">
        <f>15.98/90</f>
        <v>0.17755555555555555</v>
      </c>
      <c r="F48" s="10">
        <f>(B48+C48+D48+E48)/4</f>
        <v>0.22213888888888889</v>
      </c>
      <c r="H48" s="1">
        <f>19.73/100</f>
        <v>0.1973</v>
      </c>
      <c r="I48" s="1">
        <v>0.28000000000000003</v>
      </c>
      <c r="J48" s="1">
        <f>14.49/90</f>
        <v>0.161</v>
      </c>
      <c r="K48" s="1">
        <f>15.98/90</f>
        <v>0.17755555555555555</v>
      </c>
      <c r="L48" s="10">
        <f>(H48+I48+J48+K48)/4</f>
        <v>0.20396388888888892</v>
      </c>
      <c r="N48" s="1">
        <f>L48-F48</f>
        <v>-1.8174999999999969E-2</v>
      </c>
      <c r="O48" s="14">
        <f>N48/F48</f>
        <v>-8.1818181818181679E-2</v>
      </c>
      <c r="Q48" s="1"/>
      <c r="R48" s="14"/>
    </row>
    <row r="49" spans="1:28" x14ac:dyDescent="0.25">
      <c r="F49" s="10"/>
      <c r="H49" s="1"/>
      <c r="I49" s="1"/>
      <c r="J49" s="1"/>
      <c r="K49" s="1"/>
      <c r="L49" s="10"/>
    </row>
    <row r="50" spans="1:28" x14ac:dyDescent="0.25">
      <c r="B50" s="10"/>
      <c r="E50" s="1" t="s">
        <v>46</v>
      </c>
      <c r="F50" s="10">
        <f>SUM(F14:F49)</f>
        <v>74.488254990380014</v>
      </c>
      <c r="H50" s="10">
        <f>SUM(H14:H49)</f>
        <v>142.86037942633885</v>
      </c>
      <c r="I50" s="10">
        <f>SUM(I14:I49)</f>
        <v>89.050578896914573</v>
      </c>
      <c r="J50" s="1"/>
      <c r="K50" s="1" t="s">
        <v>46</v>
      </c>
      <c r="L50" s="10">
        <f>SUM(L14:L49)</f>
        <v>74.859169541198384</v>
      </c>
      <c r="N50" s="1">
        <f>L50-F50</f>
        <v>0.37091455081836955</v>
      </c>
      <c r="O50" s="14">
        <f>N50/F50</f>
        <v>4.9795038273654328E-3</v>
      </c>
      <c r="Q50" s="10"/>
      <c r="AB50" s="1">
        <f>SUM('Changes by Outlet'!C47:H47)</f>
        <v>1.4092599206349212</v>
      </c>
    </row>
    <row r="51" spans="1:28" ht="15.75" x14ac:dyDescent="0.25">
      <c r="A51" s="3" t="s">
        <v>44</v>
      </c>
      <c r="F51" s="10"/>
      <c r="H51" s="1"/>
      <c r="I51" s="1"/>
      <c r="J51" s="1"/>
      <c r="K51" s="1"/>
      <c r="L51" s="10"/>
    </row>
    <row r="52" spans="1:28" x14ac:dyDescent="0.25">
      <c r="A52" t="s">
        <v>32</v>
      </c>
      <c r="F52" s="10">
        <v>2.379</v>
      </c>
      <c r="I52" s="1"/>
      <c r="J52" s="1"/>
      <c r="K52" s="1"/>
      <c r="L52" s="10">
        <v>2.63</v>
      </c>
      <c r="N52" s="1">
        <f>L52-F52</f>
        <v>0.25099999999999989</v>
      </c>
      <c r="O52" s="14">
        <f>N52/F52</f>
        <v>0.10550651534258088</v>
      </c>
    </row>
    <row r="53" spans="1:28" x14ac:dyDescent="0.25">
      <c r="A53" t="s">
        <v>31</v>
      </c>
      <c r="F53" s="10">
        <v>2.7469999999999999</v>
      </c>
      <c r="I53" s="1"/>
      <c r="J53" s="1"/>
      <c r="K53" s="1"/>
      <c r="L53" s="10">
        <v>2.97</v>
      </c>
      <c r="N53" s="1">
        <f>L53-F53</f>
        <v>0.22300000000000031</v>
      </c>
      <c r="O53" s="14">
        <f>N53/F53</f>
        <v>8.1179468511103137E-2</v>
      </c>
    </row>
    <row r="54" spans="1:28" x14ac:dyDescent="0.25">
      <c r="A54" t="s">
        <v>30</v>
      </c>
      <c r="F54" s="10">
        <v>2.5640000000000001</v>
      </c>
      <c r="I54" s="1"/>
      <c r="J54" s="1"/>
      <c r="K54" s="1"/>
      <c r="L54" s="10">
        <v>2.5</v>
      </c>
      <c r="N54" s="1">
        <f>L54-F54</f>
        <v>-6.4000000000000057E-2</v>
      </c>
      <c r="O54" s="14">
        <f>N54/F54</f>
        <v>-2.4960998439937619E-2</v>
      </c>
    </row>
    <row r="55" spans="1:28" x14ac:dyDescent="0.25">
      <c r="A55" t="s">
        <v>33</v>
      </c>
      <c r="F55" s="10">
        <v>2.1840000000000002</v>
      </c>
      <c r="I55" s="1"/>
      <c r="J55" s="1"/>
      <c r="K55" s="1"/>
      <c r="L55" s="10">
        <v>2.81</v>
      </c>
      <c r="N55" s="1">
        <f>L55-F55</f>
        <v>0.62599999999999989</v>
      </c>
      <c r="O55" s="14">
        <f>N55/F55</f>
        <v>0.28663003663003656</v>
      </c>
    </row>
    <row r="56" spans="1:28" x14ac:dyDescent="0.25">
      <c r="F56" s="10"/>
      <c r="L56" s="11"/>
    </row>
    <row r="57" spans="1:28" x14ac:dyDescent="0.25">
      <c r="F57" s="10"/>
      <c r="L57" s="11" t="s">
        <v>55</v>
      </c>
      <c r="O57" s="14">
        <f>(SUM(O52:O56))/4</f>
        <v>0.11208875551094574</v>
      </c>
    </row>
    <row r="58" spans="1:28" x14ac:dyDescent="0.25">
      <c r="A58" t="s">
        <v>48</v>
      </c>
      <c r="F58" s="10"/>
      <c r="L58" s="11"/>
    </row>
    <row r="59" spans="1:28" x14ac:dyDescent="0.25">
      <c r="F59" s="10"/>
      <c r="L59" s="11"/>
    </row>
    <row r="60" spans="1:28" x14ac:dyDescent="0.25">
      <c r="F60" s="10"/>
      <c r="L60" s="11"/>
    </row>
    <row r="61" spans="1:28" x14ac:dyDescent="0.25">
      <c r="F61" s="10"/>
      <c r="L61" s="11"/>
    </row>
    <row r="62" spans="1:28" x14ac:dyDescent="0.25">
      <c r="F62" s="1"/>
    </row>
    <row r="63" spans="1:28" x14ac:dyDescent="0.25">
      <c r="F63" s="1"/>
    </row>
    <row r="64" spans="1:28" x14ac:dyDescent="0.25">
      <c r="F64" s="1"/>
    </row>
    <row r="65" spans="6:6" x14ac:dyDescent="0.25">
      <c r="F65" s="1"/>
    </row>
    <row r="66" spans="6:6" x14ac:dyDescent="0.25">
      <c r="F66" s="1"/>
    </row>
    <row r="67" spans="6:6" x14ac:dyDescent="0.25">
      <c r="F67" s="1"/>
    </row>
    <row r="68" spans="6:6" x14ac:dyDescent="0.25">
      <c r="F68" s="1"/>
    </row>
    <row r="69" spans="6:6" x14ac:dyDescent="0.25">
      <c r="F69" s="1"/>
    </row>
    <row r="70" spans="6:6" x14ac:dyDescent="0.25">
      <c r="F70" s="1"/>
    </row>
    <row r="71" spans="6:6" x14ac:dyDescent="0.25">
      <c r="F71" s="1"/>
    </row>
    <row r="72" spans="6:6" x14ac:dyDescent="0.25">
      <c r="F72" s="1"/>
    </row>
    <row r="73" spans="6:6" x14ac:dyDescent="0.25">
      <c r="F73" s="1"/>
    </row>
    <row r="74" spans="6:6" x14ac:dyDescent="0.25">
      <c r="F74" s="1"/>
    </row>
    <row r="75" spans="6:6" x14ac:dyDescent="0.25">
      <c r="F75" s="1"/>
    </row>
    <row r="76" spans="6:6" x14ac:dyDescent="0.25">
      <c r="F76" s="1"/>
    </row>
    <row r="77" spans="6:6" x14ac:dyDescent="0.25">
      <c r="F77" s="1"/>
    </row>
    <row r="78" spans="6:6" x14ac:dyDescent="0.25">
      <c r="F78" s="1"/>
    </row>
    <row r="79" spans="6:6" x14ac:dyDescent="0.25">
      <c r="F79" s="1"/>
    </row>
    <row r="80" spans="6:6" x14ac:dyDescent="0.25">
      <c r="F80" s="1"/>
    </row>
    <row r="81" spans="6:6" x14ac:dyDescent="0.25">
      <c r="F81" s="1"/>
    </row>
    <row r="82" spans="6:6" x14ac:dyDescent="0.25">
      <c r="F82" s="1"/>
    </row>
    <row r="83" spans="6:6" x14ac:dyDescent="0.25">
      <c r="F83" s="1"/>
    </row>
    <row r="84" spans="6:6" x14ac:dyDescent="0.25">
      <c r="F84" s="1"/>
    </row>
    <row r="85" spans="6:6" x14ac:dyDescent="0.25">
      <c r="F85" s="1"/>
    </row>
    <row r="86" spans="6:6" x14ac:dyDescent="0.25">
      <c r="F86" s="1"/>
    </row>
    <row r="87" spans="6:6" x14ac:dyDescent="0.25">
      <c r="F87" s="1"/>
    </row>
    <row r="88" spans="6:6" x14ac:dyDescent="0.25">
      <c r="F88" s="1"/>
    </row>
    <row r="89" spans="6:6" x14ac:dyDescent="0.25">
      <c r="F89" s="1"/>
    </row>
    <row r="90" spans="6:6" x14ac:dyDescent="0.25">
      <c r="F90" s="1"/>
    </row>
    <row r="91" spans="6:6" x14ac:dyDescent="0.25">
      <c r="F91" s="1"/>
    </row>
    <row r="92" spans="6:6" x14ac:dyDescent="0.25">
      <c r="F92" s="1"/>
    </row>
    <row r="93" spans="6:6" x14ac:dyDescent="0.25">
      <c r="F93" s="1"/>
    </row>
    <row r="94" spans="6:6" x14ac:dyDescent="0.25">
      <c r="F94" s="1"/>
    </row>
    <row r="95" spans="6:6" x14ac:dyDescent="0.25">
      <c r="F95" s="1"/>
    </row>
    <row r="96" spans="6:6" x14ac:dyDescent="0.25">
      <c r="F96" s="1"/>
    </row>
    <row r="97" spans="6:6" x14ac:dyDescent="0.25">
      <c r="F97" s="1"/>
    </row>
    <row r="98" spans="6:6" x14ac:dyDescent="0.25">
      <c r="F98" s="1"/>
    </row>
    <row r="99" spans="6:6" x14ac:dyDescent="0.25">
      <c r="F99" s="1"/>
    </row>
    <row r="100" spans="6:6" x14ac:dyDescent="0.25">
      <c r="F100" s="1"/>
    </row>
    <row r="101" spans="6:6" x14ac:dyDescent="0.25">
      <c r="F101" s="1"/>
    </row>
    <row r="102" spans="6:6" x14ac:dyDescent="0.25">
      <c r="F102" s="1"/>
    </row>
    <row r="103" spans="6:6" x14ac:dyDescent="0.25">
      <c r="F103" s="1"/>
    </row>
    <row r="104" spans="6:6" x14ac:dyDescent="0.25">
      <c r="F104" s="1"/>
    </row>
    <row r="105" spans="6:6" x14ac:dyDescent="0.25">
      <c r="F105" s="1"/>
    </row>
    <row r="106" spans="6:6" x14ac:dyDescent="0.25">
      <c r="F106" s="1"/>
    </row>
    <row r="107" spans="6:6" x14ac:dyDescent="0.25">
      <c r="F107" s="1"/>
    </row>
    <row r="108" spans="6:6" x14ac:dyDescent="0.25">
      <c r="F108" s="1"/>
    </row>
    <row r="109" spans="6:6" x14ac:dyDescent="0.25">
      <c r="F109" s="1"/>
    </row>
    <row r="110" spans="6:6" x14ac:dyDescent="0.25">
      <c r="F110" s="1"/>
    </row>
    <row r="111" spans="6:6" x14ac:dyDescent="0.25">
      <c r="F111" s="1"/>
    </row>
    <row r="112" spans="6:6" x14ac:dyDescent="0.25">
      <c r="F112" s="1"/>
    </row>
    <row r="113" spans="6:6" x14ac:dyDescent="0.25">
      <c r="F113" s="1"/>
    </row>
    <row r="114" spans="6:6" x14ac:dyDescent="0.25">
      <c r="F114" s="1"/>
    </row>
    <row r="115" spans="6:6" x14ac:dyDescent="0.25">
      <c r="F115" s="1"/>
    </row>
    <row r="116" spans="6:6" x14ac:dyDescent="0.25">
      <c r="F116" s="1"/>
    </row>
    <row r="117" spans="6:6" x14ac:dyDescent="0.25">
      <c r="F117" s="1"/>
    </row>
    <row r="118" spans="6:6" x14ac:dyDescent="0.25">
      <c r="F118" s="1"/>
    </row>
    <row r="119" spans="6:6" x14ac:dyDescent="0.25">
      <c r="F119" s="1"/>
    </row>
    <row r="120" spans="6:6" x14ac:dyDescent="0.25">
      <c r="F120" s="1"/>
    </row>
    <row r="121" spans="6:6" x14ac:dyDescent="0.25">
      <c r="F121" s="1"/>
    </row>
    <row r="122" spans="6:6" x14ac:dyDescent="0.25">
      <c r="F122" s="1"/>
    </row>
    <row r="123" spans="6:6" x14ac:dyDescent="0.25">
      <c r="F123" s="1"/>
    </row>
    <row r="124" spans="6:6" x14ac:dyDescent="0.25">
      <c r="F124" s="1"/>
    </row>
    <row r="125" spans="6:6" x14ac:dyDescent="0.25">
      <c r="F125" s="1"/>
    </row>
    <row r="126" spans="6:6" x14ac:dyDescent="0.25">
      <c r="F126" s="1"/>
    </row>
    <row r="127" spans="6:6" x14ac:dyDescent="0.25">
      <c r="F127" s="1"/>
    </row>
    <row r="128" spans="6:6" x14ac:dyDescent="0.25">
      <c r="F128" s="1"/>
    </row>
    <row r="129" spans="6:6" x14ac:dyDescent="0.25">
      <c r="F129" s="1"/>
    </row>
    <row r="130" spans="6:6" x14ac:dyDescent="0.25">
      <c r="F130" s="1"/>
    </row>
    <row r="131" spans="6:6" x14ac:dyDescent="0.25">
      <c r="F131" s="1"/>
    </row>
    <row r="132" spans="6:6" x14ac:dyDescent="0.25">
      <c r="F132" s="1"/>
    </row>
    <row r="133" spans="6:6" x14ac:dyDescent="0.25">
      <c r="F133" s="1"/>
    </row>
    <row r="134" spans="6:6" x14ac:dyDescent="0.25">
      <c r="F134" s="1"/>
    </row>
    <row r="135" spans="6:6" x14ac:dyDescent="0.25">
      <c r="F135" s="1"/>
    </row>
    <row r="136" spans="6:6" x14ac:dyDescent="0.25">
      <c r="F136" s="1"/>
    </row>
    <row r="137" spans="6:6" x14ac:dyDescent="0.25">
      <c r="F137" s="1"/>
    </row>
    <row r="138" spans="6:6" x14ac:dyDescent="0.25">
      <c r="F138" s="1"/>
    </row>
    <row r="139" spans="6:6" x14ac:dyDescent="0.25">
      <c r="F139" s="1"/>
    </row>
    <row r="140" spans="6:6" x14ac:dyDescent="0.25">
      <c r="F140" s="1"/>
    </row>
    <row r="141" spans="6:6" x14ac:dyDescent="0.25">
      <c r="F141" s="1"/>
    </row>
    <row r="142" spans="6:6" x14ac:dyDescent="0.25">
      <c r="F142" s="1"/>
    </row>
    <row r="143" spans="6:6" x14ac:dyDescent="0.25">
      <c r="F143" s="1"/>
    </row>
    <row r="144" spans="6:6" x14ac:dyDescent="0.25">
      <c r="F144" s="1"/>
    </row>
    <row r="145" spans="6:6" x14ac:dyDescent="0.25">
      <c r="F145" s="1"/>
    </row>
    <row r="146" spans="6:6" x14ac:dyDescent="0.25">
      <c r="F146" s="1"/>
    </row>
    <row r="147" spans="6:6" x14ac:dyDescent="0.25">
      <c r="F147" s="1"/>
    </row>
    <row r="148" spans="6:6" x14ac:dyDescent="0.25">
      <c r="F148" s="1"/>
    </row>
    <row r="149" spans="6:6" x14ac:dyDescent="0.25">
      <c r="F149" s="1"/>
    </row>
    <row r="150" spans="6:6" x14ac:dyDescent="0.25">
      <c r="F150" s="1"/>
    </row>
    <row r="151" spans="6:6" x14ac:dyDescent="0.25">
      <c r="F151" s="1"/>
    </row>
    <row r="152" spans="6:6" x14ac:dyDescent="0.25">
      <c r="F152" s="1"/>
    </row>
    <row r="153" spans="6:6" x14ac:dyDescent="0.25">
      <c r="F153" s="1"/>
    </row>
    <row r="154" spans="6:6" x14ac:dyDescent="0.25">
      <c r="F154" s="1"/>
    </row>
    <row r="155" spans="6:6" x14ac:dyDescent="0.25">
      <c r="F155" s="1"/>
    </row>
    <row r="156" spans="6:6" x14ac:dyDescent="0.25">
      <c r="F156" s="1"/>
    </row>
    <row r="157" spans="6:6" x14ac:dyDescent="0.25">
      <c r="F157" s="1"/>
    </row>
    <row r="158" spans="6:6" x14ac:dyDescent="0.25">
      <c r="F158" s="1"/>
    </row>
    <row r="159" spans="6:6" x14ac:dyDescent="0.25">
      <c r="F159" s="1"/>
    </row>
    <row r="160" spans="6:6" x14ac:dyDescent="0.25">
      <c r="F160" s="1"/>
    </row>
    <row r="161" spans="6:6" x14ac:dyDescent="0.25">
      <c r="F161" s="1"/>
    </row>
    <row r="162" spans="6:6" x14ac:dyDescent="0.25">
      <c r="F162" s="1"/>
    </row>
    <row r="163" spans="6:6" x14ac:dyDescent="0.25">
      <c r="F163" s="1"/>
    </row>
    <row r="164" spans="6:6" x14ac:dyDescent="0.25">
      <c r="F164" s="1"/>
    </row>
    <row r="165" spans="6:6" x14ac:dyDescent="0.25">
      <c r="F165" s="1"/>
    </row>
    <row r="166" spans="6:6" x14ac:dyDescent="0.25">
      <c r="F166" s="1"/>
    </row>
    <row r="167" spans="6:6" x14ac:dyDescent="0.25">
      <c r="F167" s="1"/>
    </row>
    <row r="168" spans="6:6" x14ac:dyDescent="0.25">
      <c r="F168" s="1"/>
    </row>
    <row r="169" spans="6:6" x14ac:dyDescent="0.25">
      <c r="F169" s="1"/>
    </row>
    <row r="170" spans="6:6" x14ac:dyDescent="0.25">
      <c r="F170" s="1"/>
    </row>
    <row r="171" spans="6:6" x14ac:dyDescent="0.25">
      <c r="F171" s="1"/>
    </row>
    <row r="172" spans="6:6" x14ac:dyDescent="0.25">
      <c r="F172" s="1"/>
    </row>
    <row r="173" spans="6:6" x14ac:dyDescent="0.25">
      <c r="F173" s="1"/>
    </row>
    <row r="174" spans="6:6" x14ac:dyDescent="0.25">
      <c r="F174" s="1"/>
    </row>
    <row r="175" spans="6:6" x14ac:dyDescent="0.25">
      <c r="F175" s="1"/>
    </row>
    <row r="176" spans="6:6" x14ac:dyDescent="0.25">
      <c r="F176" s="1"/>
    </row>
    <row r="177" spans="6:6" x14ac:dyDescent="0.25">
      <c r="F177" s="1"/>
    </row>
    <row r="178" spans="6:6" x14ac:dyDescent="0.25">
      <c r="F178" s="1"/>
    </row>
    <row r="179" spans="6:6" x14ac:dyDescent="0.25">
      <c r="F179" s="1"/>
    </row>
    <row r="180" spans="6:6" x14ac:dyDescent="0.25">
      <c r="F180" s="1"/>
    </row>
    <row r="181" spans="6:6" x14ac:dyDescent="0.25">
      <c r="F181" s="1"/>
    </row>
    <row r="182" spans="6:6" x14ac:dyDescent="0.25">
      <c r="F182" s="1"/>
    </row>
    <row r="183" spans="6:6" x14ac:dyDescent="0.25">
      <c r="F183" s="1"/>
    </row>
    <row r="184" spans="6:6" x14ac:dyDescent="0.25">
      <c r="F184" s="1"/>
    </row>
    <row r="185" spans="6:6" x14ac:dyDescent="0.25">
      <c r="F185" s="1"/>
    </row>
    <row r="186" spans="6:6" x14ac:dyDescent="0.25">
      <c r="F186" s="1"/>
    </row>
    <row r="187" spans="6:6" x14ac:dyDescent="0.25">
      <c r="F187" s="1"/>
    </row>
    <row r="188" spans="6:6" x14ac:dyDescent="0.25">
      <c r="F188" s="1"/>
    </row>
    <row r="189" spans="6:6" x14ac:dyDescent="0.25">
      <c r="F189" s="1"/>
    </row>
    <row r="190" spans="6:6" x14ac:dyDescent="0.25">
      <c r="F190" s="1"/>
    </row>
    <row r="191" spans="6:6" x14ac:dyDescent="0.25">
      <c r="F191" s="1"/>
    </row>
    <row r="192" spans="6:6" x14ac:dyDescent="0.25">
      <c r="F192" s="1"/>
    </row>
    <row r="193" spans="6:6" x14ac:dyDescent="0.25">
      <c r="F193" s="1"/>
    </row>
    <row r="194" spans="6:6" x14ac:dyDescent="0.25">
      <c r="F194" s="1"/>
    </row>
    <row r="195" spans="6:6" x14ac:dyDescent="0.25">
      <c r="F195" s="1"/>
    </row>
    <row r="196" spans="6:6" x14ac:dyDescent="0.25">
      <c r="F196" s="1"/>
    </row>
    <row r="197" spans="6:6" x14ac:dyDescent="0.25">
      <c r="F197" s="1"/>
    </row>
    <row r="198" spans="6:6" x14ac:dyDescent="0.25">
      <c r="F198" s="1"/>
    </row>
    <row r="199" spans="6:6" x14ac:dyDescent="0.25">
      <c r="F199" s="1"/>
    </row>
    <row r="200" spans="6:6" x14ac:dyDescent="0.25">
      <c r="F200" s="1"/>
    </row>
    <row r="201" spans="6:6" x14ac:dyDescent="0.25">
      <c r="F201" s="1"/>
    </row>
    <row r="202" spans="6:6" x14ac:dyDescent="0.25">
      <c r="F202" s="1"/>
    </row>
    <row r="203" spans="6:6" x14ac:dyDescent="0.25">
      <c r="F203" s="1"/>
    </row>
    <row r="204" spans="6:6" x14ac:dyDescent="0.25">
      <c r="F204" s="1"/>
    </row>
    <row r="205" spans="6:6" x14ac:dyDescent="0.25">
      <c r="F205" s="1"/>
    </row>
    <row r="206" spans="6:6" x14ac:dyDescent="0.25">
      <c r="F206" s="1"/>
    </row>
    <row r="207" spans="6:6" x14ac:dyDescent="0.25">
      <c r="F207" s="1"/>
    </row>
    <row r="208" spans="6:6" x14ac:dyDescent="0.25">
      <c r="F208" s="1"/>
    </row>
    <row r="209" spans="6:6" x14ac:dyDescent="0.25">
      <c r="F209" s="1"/>
    </row>
    <row r="210" spans="6:6" x14ac:dyDescent="0.25">
      <c r="F210" s="1"/>
    </row>
    <row r="211" spans="6:6" x14ac:dyDescent="0.25">
      <c r="F211" s="1"/>
    </row>
    <row r="212" spans="6:6" x14ac:dyDescent="0.25">
      <c r="F212" s="1"/>
    </row>
    <row r="213" spans="6:6" x14ac:dyDescent="0.25">
      <c r="F213" s="1"/>
    </row>
    <row r="214" spans="6:6" x14ac:dyDescent="0.25">
      <c r="F214" s="1"/>
    </row>
    <row r="215" spans="6:6" x14ac:dyDescent="0.25">
      <c r="F215" s="1"/>
    </row>
    <row r="216" spans="6:6" x14ac:dyDescent="0.25">
      <c r="F216" s="1"/>
    </row>
    <row r="217" spans="6:6" x14ac:dyDescent="0.25">
      <c r="F217" s="1"/>
    </row>
    <row r="218" spans="6:6" x14ac:dyDescent="0.25">
      <c r="F218" s="1"/>
    </row>
    <row r="219" spans="6:6" x14ac:dyDescent="0.25">
      <c r="F219" s="1"/>
    </row>
    <row r="220" spans="6:6" x14ac:dyDescent="0.25">
      <c r="F220" s="1"/>
    </row>
    <row r="221" spans="6:6" x14ac:dyDescent="0.25">
      <c r="F221" s="1"/>
    </row>
    <row r="222" spans="6:6" x14ac:dyDescent="0.25">
      <c r="F222" s="1"/>
    </row>
    <row r="223" spans="6:6" x14ac:dyDescent="0.25">
      <c r="F223" s="1"/>
    </row>
    <row r="224" spans="6:6" x14ac:dyDescent="0.25">
      <c r="F224" s="1"/>
    </row>
    <row r="225" spans="6:6" x14ac:dyDescent="0.25">
      <c r="F225" s="1"/>
    </row>
    <row r="226" spans="6:6" x14ac:dyDescent="0.25">
      <c r="F226" s="1"/>
    </row>
    <row r="227" spans="6:6" x14ac:dyDescent="0.25">
      <c r="F227" s="1"/>
    </row>
    <row r="228" spans="6:6" x14ac:dyDescent="0.25">
      <c r="F228" s="1"/>
    </row>
    <row r="229" spans="6:6" x14ac:dyDescent="0.25">
      <c r="F229" s="1"/>
    </row>
    <row r="230" spans="6:6" x14ac:dyDescent="0.25">
      <c r="F230" s="1"/>
    </row>
    <row r="231" spans="6:6" x14ac:dyDescent="0.25">
      <c r="F231" s="1"/>
    </row>
    <row r="232" spans="6:6" x14ac:dyDescent="0.25">
      <c r="F232" s="1"/>
    </row>
    <row r="233" spans="6:6" x14ac:dyDescent="0.25">
      <c r="F233" s="1"/>
    </row>
    <row r="234" spans="6:6" x14ac:dyDescent="0.25">
      <c r="F234" s="1"/>
    </row>
    <row r="235" spans="6:6" x14ac:dyDescent="0.25">
      <c r="F235" s="1"/>
    </row>
    <row r="236" spans="6:6" x14ac:dyDescent="0.25">
      <c r="F236" s="1"/>
    </row>
    <row r="237" spans="6:6" x14ac:dyDescent="0.25">
      <c r="F237" s="1"/>
    </row>
    <row r="238" spans="6:6" x14ac:dyDescent="0.25">
      <c r="F238" s="1"/>
    </row>
    <row r="239" spans="6:6" x14ac:dyDescent="0.25">
      <c r="F239" s="1"/>
    </row>
    <row r="240" spans="6:6" x14ac:dyDescent="0.25">
      <c r="F240" s="1"/>
    </row>
    <row r="241" spans="6:6" x14ac:dyDescent="0.25">
      <c r="F241" s="1"/>
    </row>
    <row r="242" spans="6:6" x14ac:dyDescent="0.25">
      <c r="F242" s="1"/>
    </row>
    <row r="243" spans="6:6" x14ac:dyDescent="0.25">
      <c r="F243" s="1"/>
    </row>
    <row r="244" spans="6:6" x14ac:dyDescent="0.25">
      <c r="F244" s="1"/>
    </row>
    <row r="245" spans="6:6" x14ac:dyDescent="0.25">
      <c r="F245" s="1"/>
    </row>
    <row r="246" spans="6:6" x14ac:dyDescent="0.25">
      <c r="F246" s="1"/>
    </row>
    <row r="247" spans="6:6" x14ac:dyDescent="0.25">
      <c r="F247" s="1"/>
    </row>
    <row r="248" spans="6:6" x14ac:dyDescent="0.25">
      <c r="F248" s="1"/>
    </row>
    <row r="249" spans="6:6" x14ac:dyDescent="0.25">
      <c r="F249" s="1"/>
    </row>
    <row r="250" spans="6:6" x14ac:dyDescent="0.25">
      <c r="F250" s="1"/>
    </row>
    <row r="251" spans="6:6" x14ac:dyDescent="0.25">
      <c r="F251" s="1"/>
    </row>
  </sheetData>
  <sheetProtection password="9BB7" sheet="1" objects="1" scenarios="1" formatCells="0"/>
  <mergeCells count="2">
    <mergeCell ref="B11:F11"/>
    <mergeCell ref="H11:L1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workbookViewId="0">
      <pane ySplit="9" topLeftCell="A10" activePane="bottomLeft" state="frozenSplit"/>
      <selection pane="bottomLeft" activeCell="A13" sqref="A13"/>
    </sheetView>
  </sheetViews>
  <sheetFormatPr defaultRowHeight="15" x14ac:dyDescent="0.25"/>
  <cols>
    <col min="1" max="1" width="42" customWidth="1"/>
    <col min="7" max="7" width="9.140625" style="14"/>
    <col min="9" max="9" width="9.140625" style="14"/>
  </cols>
  <sheetData>
    <row r="2" spans="1:9" ht="21" x14ac:dyDescent="0.35">
      <c r="A2" s="6" t="s">
        <v>4</v>
      </c>
    </row>
    <row r="4" spans="1:9" x14ac:dyDescent="0.25">
      <c r="A4" t="s">
        <v>47</v>
      </c>
    </row>
    <row r="8" spans="1:9" x14ac:dyDescent="0.25">
      <c r="B8" s="18" t="s">
        <v>52</v>
      </c>
      <c r="C8" s="18"/>
      <c r="D8" s="18"/>
      <c r="E8" s="18"/>
      <c r="F8" s="18"/>
      <c r="G8" s="18"/>
      <c r="H8" s="18"/>
    </row>
    <row r="9" spans="1:9" ht="15.75" x14ac:dyDescent="0.25">
      <c r="A9" s="7" t="s">
        <v>0</v>
      </c>
      <c r="B9" s="12" t="s">
        <v>50</v>
      </c>
      <c r="C9" s="12"/>
      <c r="D9" s="12" t="s">
        <v>51</v>
      </c>
      <c r="E9" s="12"/>
      <c r="F9" s="12" t="s">
        <v>3</v>
      </c>
      <c r="G9" s="12"/>
      <c r="H9" s="12" t="s">
        <v>53</v>
      </c>
      <c r="I9" s="12"/>
    </row>
    <row r="10" spans="1:9" ht="15.75" x14ac:dyDescent="0.25">
      <c r="A10" s="3" t="s">
        <v>16</v>
      </c>
    </row>
    <row r="11" spans="1:9" x14ac:dyDescent="0.25">
      <c r="A11" t="s">
        <v>5</v>
      </c>
      <c r="B11" s="1">
        <f>'1-24 vs 2-28'!H14-'1-24 vs 2-28'!B14</f>
        <v>0.61500000000000021</v>
      </c>
      <c r="C11" s="14">
        <f>B11/'1-24 vs 2-28'!B14</f>
        <v>0.21061643835616445</v>
      </c>
      <c r="D11" s="1">
        <f>'1-24 vs 2-28'!I14-'1-24 vs 2-28'!C14</f>
        <v>1.6737500000000001</v>
      </c>
      <c r="E11" s="14">
        <f>D11/'1-24 vs 2-28'!C14</f>
        <v>0.57320205479452058</v>
      </c>
      <c r="F11" s="1">
        <f>'1-24 vs 2-28'!J14-'1-24 vs 2-28'!D14</f>
        <v>0</v>
      </c>
      <c r="G11" s="14">
        <f>F11/'1-24 vs 2-28'!D14</f>
        <v>0</v>
      </c>
      <c r="H11" s="1">
        <f>'1-24 vs 2-28'!K14-'1-24 vs 2-28'!E14</f>
        <v>0</v>
      </c>
      <c r="I11" s="14">
        <f>H11/'1-24 vs 2-28'!E14</f>
        <v>0</v>
      </c>
    </row>
    <row r="12" spans="1:9" x14ac:dyDescent="0.25">
      <c r="A12" t="s">
        <v>22</v>
      </c>
      <c r="B12" s="1">
        <f>'1-24 vs 2-28'!H15-'1-24 vs 2-28'!B15</f>
        <v>-5.8333333333333126E-2</v>
      </c>
      <c r="C12" s="14">
        <f>B12/'1-24 vs 2-28'!B15</f>
        <v>-2.6168224299065328E-2</v>
      </c>
      <c r="D12" s="1"/>
      <c r="E12" s="14"/>
      <c r="F12" s="1">
        <f>'1-24 vs 2-28'!J15-'1-24 vs 2-28'!D15</f>
        <v>-0.33333333333333326</v>
      </c>
      <c r="G12" s="14">
        <f>F12/'1-24 vs 2-28'!D15</f>
        <v>-0.17406440382941685</v>
      </c>
      <c r="H12" s="1">
        <f>'1-24 vs 2-28'!K15-'1-24 vs 2-28'!E15</f>
        <v>0</v>
      </c>
      <c r="I12" s="14">
        <f>H12/'1-24 vs 2-28'!E15</f>
        <v>0</v>
      </c>
    </row>
    <row r="13" spans="1:9" x14ac:dyDescent="0.25">
      <c r="A13" t="s">
        <v>27</v>
      </c>
      <c r="B13" s="1">
        <f>'1-24 vs 2-28'!H16-'1-24 vs 2-28'!B16</f>
        <v>-2.4000000000000021E-2</v>
      </c>
      <c r="C13" s="14">
        <f>B13/'1-24 vs 2-28'!B16</f>
        <v>-0.13636363636363649</v>
      </c>
      <c r="D13" s="1">
        <f>'1-24 vs 2-28'!I16-'1-24 vs 2-28'!C16</f>
        <v>0</v>
      </c>
      <c r="E13" s="14">
        <f>D13/'1-24 vs 2-28'!C16</f>
        <v>0</v>
      </c>
      <c r="F13" s="1">
        <f>'1-24 vs 2-28'!J16-'1-24 vs 2-28'!D16</f>
        <v>0</v>
      </c>
      <c r="G13" s="14">
        <f>F13/'1-24 vs 2-28'!D16</f>
        <v>0</v>
      </c>
      <c r="H13" s="1">
        <f>'1-24 vs 2-28'!K16-'1-24 vs 2-28'!E16</f>
        <v>0</v>
      </c>
      <c r="I13" s="14">
        <f>H13/'1-24 vs 2-28'!E16</f>
        <v>0</v>
      </c>
    </row>
    <row r="14" spans="1:9" x14ac:dyDescent="0.25">
      <c r="A14" t="s">
        <v>7</v>
      </c>
      <c r="B14" s="1">
        <f>'1-24 vs 2-28'!H17-'1-24 vs 2-28'!B17</f>
        <v>-6.1250000000000027E-2</v>
      </c>
      <c r="C14" s="14">
        <f>B14/'1-24 vs 2-28'!B17</f>
        <v>-3.405142460041697E-2</v>
      </c>
      <c r="D14" s="1">
        <f>'1-24 vs 2-28'!I17-'1-24 vs 2-28'!C17</f>
        <v>0</v>
      </c>
      <c r="E14" s="14">
        <f>D14/'1-24 vs 2-28'!C17</f>
        <v>0</v>
      </c>
      <c r="F14" s="1">
        <f>'1-24 vs 2-28'!J17-'1-24 vs 2-28'!D17</f>
        <v>0</v>
      </c>
      <c r="G14" s="14">
        <f>F14/'1-24 vs 2-28'!D17</f>
        <v>0</v>
      </c>
      <c r="H14" s="1">
        <f>'1-24 vs 2-28'!K17-'1-24 vs 2-28'!E17</f>
        <v>0</v>
      </c>
      <c r="I14" s="14">
        <f>H14/'1-24 vs 2-28'!E17</f>
        <v>0</v>
      </c>
    </row>
    <row r="15" spans="1:9" x14ac:dyDescent="0.25">
      <c r="A15" t="s">
        <v>21</v>
      </c>
      <c r="B15" s="1">
        <f>'1-24 vs 2-28'!H18-'1-24 vs 2-28'!B18</f>
        <v>3.3333333333333215E-2</v>
      </c>
      <c r="C15" s="14">
        <f>B15/'1-24 vs 2-28'!B18</f>
        <v>2.554278416347373E-2</v>
      </c>
      <c r="D15" s="1">
        <f>'1-24 vs 2-28'!I18-'1-24 vs 2-28'!C18</f>
        <v>0.85166666666666668</v>
      </c>
      <c r="E15" s="14">
        <f>D15/'1-24 vs 2-28'!C18</f>
        <v>1.0471311475409837</v>
      </c>
      <c r="F15" s="1">
        <f>'1-24 vs 2-28'!J18-'1-24 vs 2-28'!D18</f>
        <v>0</v>
      </c>
      <c r="G15" s="14">
        <f>F15/'1-24 vs 2-28'!D18</f>
        <v>0</v>
      </c>
      <c r="H15" s="1">
        <f>'1-24 vs 2-28'!K18-'1-24 vs 2-28'!E18</f>
        <v>-8.4166666666666612E-2</v>
      </c>
      <c r="I15" s="14">
        <f>H15/'1-24 vs 2-28'!E18</f>
        <v>-9.3779015784586764E-2</v>
      </c>
    </row>
    <row r="16" spans="1:9" x14ac:dyDescent="0.25">
      <c r="A16" t="s">
        <v>49</v>
      </c>
      <c r="B16" s="1"/>
      <c r="C16" s="14"/>
      <c r="D16" s="1"/>
      <c r="E16" s="14"/>
      <c r="F16" s="5"/>
      <c r="G16" s="19"/>
      <c r="H16" s="1">
        <f>'1-24 vs 2-28'!K19-'1-24 vs 2-28'!E19</f>
        <v>0</v>
      </c>
      <c r="I16" s="14">
        <f>H16/'1-24 vs 2-28'!E19</f>
        <v>0</v>
      </c>
    </row>
    <row r="17" spans="1:9" x14ac:dyDescent="0.25">
      <c r="A17" t="s">
        <v>23</v>
      </c>
      <c r="B17" s="1"/>
      <c r="C17" s="14"/>
      <c r="D17" s="1">
        <f>'1-24 vs 2-28'!I20-'1-24 vs 2-28'!C20</f>
        <v>-0.1333333333333333</v>
      </c>
      <c r="E17" s="14">
        <f>D17/'1-24 vs 2-28'!C20</f>
        <v>-8.1967213114754078E-2</v>
      </c>
      <c r="F17" s="5"/>
      <c r="G17" s="19"/>
      <c r="H17" s="1">
        <f>'1-24 vs 2-28'!K20-'1-24 vs 2-28'!E20</f>
        <v>-0.21666666666666656</v>
      </c>
      <c r="I17" s="14">
        <f>H17/'1-24 vs 2-28'!E20</f>
        <v>-0.15700483091787434</v>
      </c>
    </row>
    <row r="18" spans="1:9" x14ac:dyDescent="0.25">
      <c r="A18" t="s">
        <v>24</v>
      </c>
      <c r="B18" s="1">
        <f>'1-24 vs 2-28'!H21-'1-24 vs 2-28'!B21</f>
        <v>0.12916666666666676</v>
      </c>
      <c r="C18" s="14">
        <f>B18/'1-24 vs 2-28'!B21</f>
        <v>0.22627737226277389</v>
      </c>
      <c r="D18" s="1">
        <f>'1-24 vs 2-28'!I21-'1-24 vs 2-28'!C21</f>
        <v>0</v>
      </c>
      <c r="E18" s="14">
        <f>D18/'1-24 vs 2-28'!C21</f>
        <v>0</v>
      </c>
      <c r="F18" s="1"/>
      <c r="H18" s="1">
        <f>'1-24 vs 2-28'!K21-'1-24 vs 2-28'!E21</f>
        <v>0</v>
      </c>
      <c r="I18" s="14">
        <f>H18/'1-24 vs 2-28'!E21</f>
        <v>0</v>
      </c>
    </row>
    <row r="19" spans="1:9" x14ac:dyDescent="0.25">
      <c r="A19" t="s">
        <v>35</v>
      </c>
      <c r="B19" s="1">
        <f>'1-24 vs 2-28'!H22-'1-24 vs 2-28'!B22</f>
        <v>-0.12694444444444453</v>
      </c>
      <c r="C19" s="14">
        <f>B19/'1-24 vs 2-28'!B22</f>
        <v>-0.10888730045270439</v>
      </c>
      <c r="D19" s="1">
        <f>'1-24 vs 2-28'!I22-'1-24 vs 2-28'!C22</f>
        <v>0.27249999999999985</v>
      </c>
      <c r="E19" s="14">
        <f>D19/'1-24 vs 2-28'!C22</f>
        <v>0.30617977528089868</v>
      </c>
      <c r="F19" s="5"/>
      <c r="G19" s="19"/>
      <c r="H19" s="1">
        <f>'1-24 vs 2-28'!K22-'1-24 vs 2-28'!E22</f>
        <v>8.3333333333333259E-2</v>
      </c>
      <c r="I19" s="14">
        <f>H19/'1-24 vs 2-28'!E22</f>
        <v>0.11135857461024488</v>
      </c>
    </row>
    <row r="20" spans="1:9" x14ac:dyDescent="0.25">
      <c r="A20" t="s">
        <v>36</v>
      </c>
      <c r="B20" s="1">
        <f>'1-24 vs 2-28'!H23-'1-24 vs 2-28'!B23</f>
        <v>2.25</v>
      </c>
      <c r="C20" s="14">
        <f>B20/'1-24 vs 2-28'!B23</f>
        <v>0.45</v>
      </c>
      <c r="D20" s="1">
        <f>'1-24 vs 2-28'!I23-'1-24 vs 2-28'!C23</f>
        <v>0</v>
      </c>
      <c r="E20" s="14">
        <f>D20/'1-24 vs 2-28'!C23</f>
        <v>0</v>
      </c>
      <c r="F20" s="1">
        <f>'1-24 vs 2-28'!J23-'1-24 vs 2-28'!D23</f>
        <v>0</v>
      </c>
      <c r="G20" s="14">
        <f>F20/'1-24 vs 2-28'!D23</f>
        <v>0</v>
      </c>
      <c r="H20" s="1">
        <f>'1-24 vs 2-28'!K23-'1-24 vs 2-28'!E23</f>
        <v>0</v>
      </c>
      <c r="I20" s="14">
        <f>H20/'1-24 vs 2-28'!E23</f>
        <v>0</v>
      </c>
    </row>
    <row r="22" spans="1:9" ht="15.75" x14ac:dyDescent="0.25">
      <c r="A22" s="3" t="s">
        <v>15</v>
      </c>
    </row>
    <row r="23" spans="1:9" x14ac:dyDescent="0.25">
      <c r="A23" t="s">
        <v>17</v>
      </c>
      <c r="B23" s="1"/>
      <c r="C23" s="14"/>
      <c r="D23" s="1">
        <f>'1-24 vs 2-28'!I26-'1-24 vs 2-28'!C26</f>
        <v>0</v>
      </c>
      <c r="E23" s="14">
        <f>D23/'1-24 vs 2-28'!C26</f>
        <v>0</v>
      </c>
      <c r="F23" s="1">
        <f>'1-24 vs 2-28'!J26-'1-24 vs 2-28'!D26</f>
        <v>0</v>
      </c>
      <c r="G23" s="14">
        <f>F23/'1-24 vs 2-28'!D26</f>
        <v>0</v>
      </c>
      <c r="H23" s="1">
        <f>'1-24 vs 2-28'!K26-'1-24 vs 2-28'!E26</f>
        <v>-1.5199999999999996</v>
      </c>
      <c r="I23" s="14">
        <f>H23/'1-24 vs 2-28'!E26</f>
        <v>-8.4538375973303645E-2</v>
      </c>
    </row>
    <row r="24" spans="1:9" x14ac:dyDescent="0.25">
      <c r="A24" t="s">
        <v>8</v>
      </c>
      <c r="B24" s="1"/>
      <c r="C24" s="14"/>
      <c r="D24" s="1">
        <f>'1-24 vs 2-28'!I27-'1-24 vs 2-28'!C27</f>
        <v>0</v>
      </c>
      <c r="E24" s="14">
        <f>D24/'1-24 vs 2-28'!C27</f>
        <v>0</v>
      </c>
      <c r="F24" s="5"/>
      <c r="G24" s="19"/>
      <c r="H24" s="1">
        <f>'1-24 vs 2-28'!K27-'1-24 vs 2-28'!E27</f>
        <v>0</v>
      </c>
      <c r="I24" s="14">
        <f>H24/'1-24 vs 2-28'!E27</f>
        <v>0</v>
      </c>
    </row>
    <row r="25" spans="1:9" x14ac:dyDescent="0.25">
      <c r="A25" t="s">
        <v>13</v>
      </c>
      <c r="B25" s="1">
        <f>'1-24 vs 2-28'!H28-'1-24 vs 2-28'!B28</f>
        <v>0</v>
      </c>
      <c r="C25" s="14">
        <f>B25/'1-24 vs 2-28'!B28</f>
        <v>0</v>
      </c>
      <c r="D25" s="1">
        <f>'1-24 vs 2-28'!I28-'1-24 vs 2-28'!C28</f>
        <v>0.80999999999999983</v>
      </c>
      <c r="E25" s="14">
        <f>D25/'1-24 vs 2-28'!C28</f>
        <v>0.66393442622950805</v>
      </c>
      <c r="F25" s="5"/>
      <c r="G25" s="19"/>
      <c r="H25" s="5"/>
      <c r="I25" s="19"/>
    </row>
    <row r="26" spans="1:9" x14ac:dyDescent="0.25">
      <c r="A26" t="s">
        <v>37</v>
      </c>
      <c r="B26" s="1">
        <f>'1-24 vs 2-28'!H29-'1-24 vs 2-28'!B29</f>
        <v>-2.083333333333337E-2</v>
      </c>
      <c r="C26" s="14">
        <f>B26/'1-24 vs 2-28'!B29</f>
        <v>-6.2111801242236128E-2</v>
      </c>
      <c r="D26" s="1">
        <f>'1-24 vs 2-28'!I29-'1-24 vs 2-28'!C29</f>
        <v>-0.27249999999999996</v>
      </c>
      <c r="E26" s="14">
        <f>D26/'1-24 vs 2-28'!C29</f>
        <v>-0.59025270758122739</v>
      </c>
      <c r="F26" s="5"/>
      <c r="G26" s="19"/>
      <c r="H26" s="1">
        <f>'1-24 vs 2-28'!K29-'1-24 vs 2-28'!E29</f>
        <v>0</v>
      </c>
      <c r="I26" s="14">
        <f>H26/'1-24 vs 2-28'!E29</f>
        <v>0</v>
      </c>
    </row>
    <row r="27" spans="1:9" x14ac:dyDescent="0.25">
      <c r="A27" t="s">
        <v>10</v>
      </c>
      <c r="B27" s="1">
        <f>'1-24 vs 2-28'!H30-'1-24 vs 2-28'!B30</f>
        <v>-0.20625000000000004</v>
      </c>
      <c r="C27" s="14">
        <f>B27/'1-24 vs 2-28'!B30</f>
        <v>-0.15507518796992484</v>
      </c>
      <c r="D27" s="1">
        <f>'1-24 vs 2-28'!I30-'1-24 vs 2-28'!C30</f>
        <v>-1.8333333333333313E-2</v>
      </c>
      <c r="E27" s="14">
        <f>D27/'1-24 vs 2-28'!C30</f>
        <v>-2.7742749054224435E-2</v>
      </c>
      <c r="F27" s="5"/>
      <c r="G27" s="19"/>
      <c r="H27" s="1">
        <f>'1-24 vs 2-28'!K30-'1-24 vs 2-28'!E30</f>
        <v>0</v>
      </c>
      <c r="I27" s="14">
        <f>H27/'1-24 vs 2-28'!E30</f>
        <v>0</v>
      </c>
    </row>
    <row r="28" spans="1:9" x14ac:dyDescent="0.25">
      <c r="A28" t="s">
        <v>12</v>
      </c>
      <c r="B28" s="1"/>
      <c r="C28" s="14"/>
      <c r="D28" s="1"/>
      <c r="E28" s="14"/>
      <c r="F28" s="1">
        <f>'1-24 vs 2-28'!J31-'1-24 vs 2-28'!D31</f>
        <v>-0.22999999999999998</v>
      </c>
      <c r="G28" s="14">
        <f>F28/'1-24 vs 2-28'!D31</f>
        <v>-0.24236037934668067</v>
      </c>
      <c r="H28" s="1">
        <f>'1-24 vs 2-28'!K31-'1-24 vs 2-28'!E31</f>
        <v>8.6000000000000076E-2</v>
      </c>
      <c r="I28" s="14">
        <f>H28/'1-24 vs 2-28'!E31</f>
        <v>0.10591133004926119</v>
      </c>
    </row>
    <row r="29" spans="1:9" x14ac:dyDescent="0.25">
      <c r="A29" t="s">
        <v>38</v>
      </c>
      <c r="B29" s="1">
        <f>'1-24 vs 2-28'!H32-'1-24 vs 2-28'!B32</f>
        <v>0.13999999999999968</v>
      </c>
      <c r="C29" s="14">
        <f>B29/'1-24 vs 2-28'!B32</f>
        <v>2.3890784982935096E-2</v>
      </c>
      <c r="D29" s="1">
        <f>'1-24 vs 2-28'!I32-'1-24 vs 2-28'!C32</f>
        <v>0</v>
      </c>
      <c r="E29" s="14">
        <f>D29/'1-24 vs 2-28'!C32</f>
        <v>0</v>
      </c>
      <c r="F29" s="1">
        <f>'1-24 vs 2-28'!J32-'1-24 vs 2-28'!D32</f>
        <v>0</v>
      </c>
      <c r="G29" s="14">
        <f>F29/'1-24 vs 2-28'!D32</f>
        <v>0</v>
      </c>
      <c r="H29" s="1">
        <f>'1-24 vs 2-28'!K32-'1-24 vs 2-28'!E32</f>
        <v>0.5</v>
      </c>
      <c r="I29" s="14">
        <f>H29/'1-24 vs 2-28'!E32</f>
        <v>9.1240875912408759E-2</v>
      </c>
    </row>
    <row r="30" spans="1:9" x14ac:dyDescent="0.25">
      <c r="A30" t="s">
        <v>39</v>
      </c>
      <c r="B30" s="1">
        <f>'1-24 vs 2-28'!H33-'1-24 vs 2-28'!B33</f>
        <v>-0.20133333333333348</v>
      </c>
      <c r="C30" s="14">
        <f>B30/'1-24 vs 2-28'!B33</f>
        <v>-0.19396274887604381</v>
      </c>
      <c r="D30" s="1">
        <f>'1-24 vs 2-28'!I33-'1-24 vs 2-28'!C33</f>
        <v>5.9999999999999942E-2</v>
      </c>
      <c r="E30" s="14">
        <f>D30/'1-24 vs 2-28'!C33</f>
        <v>6.6666666666666596E-2</v>
      </c>
      <c r="F30" s="1">
        <f>'1-24 vs 2-28'!J33-'1-24 vs 2-28'!D33</f>
        <v>0</v>
      </c>
      <c r="G30" s="14">
        <f>F30/'1-24 vs 2-28'!D33</f>
        <v>0</v>
      </c>
      <c r="H30" s="1">
        <f>'1-24 vs 2-28'!K33-'1-24 vs 2-28'!E33</f>
        <v>-6.4444444444444415E-2</v>
      </c>
      <c r="I30" s="14">
        <f>H30/'1-24 vs 2-28'!E33</f>
        <v>-8.2621082621082587E-2</v>
      </c>
    </row>
    <row r="31" spans="1:9" x14ac:dyDescent="0.25">
      <c r="A31" t="s">
        <v>26</v>
      </c>
      <c r="B31" s="1"/>
      <c r="C31" s="14"/>
      <c r="D31" s="1"/>
      <c r="E31" s="14"/>
      <c r="F31" s="1">
        <f>'1-24 vs 2-28'!J34-'1-24 vs 2-28'!D34</f>
        <v>0</v>
      </c>
      <c r="G31" s="14">
        <f>F31/'1-24 vs 2-28'!D34</f>
        <v>0</v>
      </c>
      <c r="H31" s="1">
        <f>'1-24 vs 2-28'!K34-'1-24 vs 2-28'!E34</f>
        <v>0</v>
      </c>
      <c r="I31" s="14">
        <f>H31/'1-24 vs 2-28'!E34</f>
        <v>0</v>
      </c>
    </row>
    <row r="33" spans="1:9" ht="15.75" x14ac:dyDescent="0.25">
      <c r="A33" s="3" t="s">
        <v>18</v>
      </c>
      <c r="B33" s="1"/>
      <c r="C33" s="14"/>
      <c r="D33" s="1"/>
      <c r="E33" s="14"/>
      <c r="F33" s="1"/>
      <c r="H33" s="1"/>
    </row>
    <row r="34" spans="1:9" x14ac:dyDescent="0.25">
      <c r="A34" t="s">
        <v>9</v>
      </c>
      <c r="B34" s="1"/>
      <c r="C34" s="14"/>
      <c r="D34" s="1"/>
      <c r="E34" s="14"/>
      <c r="F34" s="1">
        <f>'1-24 vs 2-28'!J37-'1-24 vs 2-28'!D37</f>
        <v>0</v>
      </c>
      <c r="G34" s="14">
        <f>F34/'1-24 vs 2-28'!D37</f>
        <v>0</v>
      </c>
      <c r="H34" s="1">
        <f>'1-24 vs 2-28'!K37-'1-24 vs 2-28'!E37</f>
        <v>0</v>
      </c>
      <c r="I34" s="14">
        <f>H34/'1-24 vs 2-28'!E37</f>
        <v>0</v>
      </c>
    </row>
    <row r="35" spans="1:9" x14ac:dyDescent="0.25">
      <c r="A35" t="s">
        <v>11</v>
      </c>
      <c r="B35" s="1"/>
      <c r="C35" s="14"/>
      <c r="D35" s="1"/>
      <c r="E35" s="14"/>
      <c r="F35" s="5"/>
      <c r="G35" s="19"/>
      <c r="H35" s="1">
        <f>'1-24 vs 2-28'!K38-'1-24 vs 2-28'!E38</f>
        <v>0</v>
      </c>
      <c r="I35" s="14">
        <f>H35/'1-24 vs 2-28'!E38</f>
        <v>0</v>
      </c>
    </row>
    <row r="36" spans="1:9" x14ac:dyDescent="0.25">
      <c r="A36" t="s">
        <v>40</v>
      </c>
      <c r="B36" s="1"/>
      <c r="C36" s="14"/>
      <c r="D36" s="1">
        <f>'1-24 vs 2-28'!I39-'1-24 vs 2-28'!C39</f>
        <v>0.15035714285714286</v>
      </c>
      <c r="E36" s="14">
        <f>D36/'1-24 vs 2-28'!C39</f>
        <v>1.2529761904761905</v>
      </c>
      <c r="F36" s="5"/>
      <c r="G36" s="19"/>
      <c r="H36" s="1">
        <f>'1-24 vs 2-28'!K39-'1-24 vs 2-28'!E39</f>
        <v>0</v>
      </c>
      <c r="I36" s="14">
        <f>H36/'1-24 vs 2-28'!E39</f>
        <v>0</v>
      </c>
    </row>
    <row r="37" spans="1:9" x14ac:dyDescent="0.25">
      <c r="A37" t="s">
        <v>41</v>
      </c>
      <c r="B37" s="1"/>
      <c r="C37" s="14"/>
      <c r="D37" s="1">
        <f>'1-24 vs 2-28'!I40-'1-24 vs 2-28'!C40</f>
        <v>-0.42249999999999988</v>
      </c>
      <c r="E37" s="14">
        <f>D37/'1-24 vs 2-28'!C40</f>
        <v>-0.17440660474716199</v>
      </c>
      <c r="F37" s="5"/>
      <c r="G37" s="19"/>
      <c r="H37" s="1">
        <f>'1-24 vs 2-28'!K40-'1-24 vs 2-28'!E40</f>
        <v>0</v>
      </c>
      <c r="I37" s="14">
        <f>H37/'1-24 vs 2-28'!E40</f>
        <v>0</v>
      </c>
    </row>
    <row r="38" spans="1:9" x14ac:dyDescent="0.25">
      <c r="A38" t="s">
        <v>42</v>
      </c>
      <c r="B38" s="1">
        <f>'1-24 vs 2-28'!H41-'1-24 vs 2-28'!B41</f>
        <v>-9.9999999999999811E-3</v>
      </c>
      <c r="C38" s="14">
        <f>B38/'1-24 vs 2-28'!B41</f>
        <v>-4.1666666666666588E-2</v>
      </c>
      <c r="D38" s="1">
        <f>'1-24 vs 2-28'!I41-'1-24 vs 2-28'!C41</f>
        <v>4.0000000000000008E-2</v>
      </c>
      <c r="E38" s="14">
        <f>D38/'1-24 vs 2-28'!C41</f>
        <v>0.21052631578947373</v>
      </c>
      <c r="F38" s="1">
        <f>'1-24 vs 2-28'!J41-'1-24 vs 2-28'!D41</f>
        <v>5.5555555555555636E-3</v>
      </c>
      <c r="G38" s="14">
        <f>F38/'1-24 vs 2-28'!D41</f>
        <v>3.3361134278565518E-2</v>
      </c>
      <c r="H38" s="1">
        <f>'1-24 vs 2-28'!K41-'1-24 vs 2-28'!E41</f>
        <v>0</v>
      </c>
      <c r="I38" s="14">
        <f>H38/'1-24 vs 2-28'!E41</f>
        <v>0</v>
      </c>
    </row>
    <row r="39" spans="1:9" x14ac:dyDescent="0.25">
      <c r="A39" t="s">
        <v>20</v>
      </c>
      <c r="B39" s="1"/>
      <c r="C39" s="14"/>
      <c r="D39" s="1">
        <f>'1-24 vs 2-28'!I42-'1-24 vs 2-28'!C42</f>
        <v>0</v>
      </c>
      <c r="E39" s="14">
        <f>D39/'1-24 vs 2-28'!C42</f>
        <v>0</v>
      </c>
      <c r="F39" s="1">
        <f>'1-24 vs 2-28'!J42-'1-24 vs 2-28'!D42</f>
        <v>0</v>
      </c>
      <c r="G39" s="14">
        <f>F39/'1-24 vs 2-28'!D42</f>
        <v>0</v>
      </c>
      <c r="H39" s="1">
        <f>'1-24 vs 2-28'!K42-'1-24 vs 2-28'!E42</f>
        <v>4.9666666666666665E-2</v>
      </c>
      <c r="I39" s="14">
        <f>H39/'1-24 vs 2-28'!E42</f>
        <v>0.49666666666666665</v>
      </c>
    </row>
    <row r="40" spans="1:9" x14ac:dyDescent="0.25">
      <c r="A40" t="s">
        <v>25</v>
      </c>
      <c r="B40" s="1">
        <f>'1-24 vs 2-28'!H43-'1-24 vs 2-28'!B43</f>
        <v>2.0000000000000018E-2</v>
      </c>
      <c r="C40" s="14">
        <f>B40/'1-24 vs 2-28'!B43</f>
        <v>9.523809523809533E-2</v>
      </c>
      <c r="D40" s="1">
        <f>'1-24 vs 2-28'!I43-'1-24 vs 2-28'!C43</f>
        <v>0.15000000000000002</v>
      </c>
      <c r="E40" s="14">
        <f>D40/'1-24 vs 2-28'!C43</f>
        <v>0.83333333333333348</v>
      </c>
      <c r="F40" s="1">
        <f>'1-24 vs 2-28'!J43-'1-24 vs 2-28'!D43</f>
        <v>0</v>
      </c>
      <c r="G40" s="14">
        <f>F40/'1-24 vs 2-28'!D43</f>
        <v>0</v>
      </c>
      <c r="H40" s="1">
        <f>'1-24 vs 2-28'!K43-'1-24 vs 2-28'!E43</f>
        <v>0</v>
      </c>
      <c r="I40" s="14">
        <f>H40/'1-24 vs 2-28'!E43</f>
        <v>0</v>
      </c>
    </row>
    <row r="41" spans="1:9" x14ac:dyDescent="0.25">
      <c r="A41" t="s">
        <v>34</v>
      </c>
      <c r="B41" s="1">
        <f>'1-24 vs 2-28'!H44-'1-24 vs 2-28'!B44</f>
        <v>-1.5149685534591195</v>
      </c>
      <c r="C41" s="14">
        <f>B41/'1-24 vs 2-28'!B44</f>
        <v>-0.28548402389305017</v>
      </c>
      <c r="D41" s="1">
        <f>'1-24 vs 2-28'!I44-'1-24 vs 2-28'!C44</f>
        <v>0</v>
      </c>
      <c r="E41" s="14">
        <f>D41/'1-24 vs 2-28'!C44</f>
        <v>0</v>
      </c>
      <c r="F41" s="5"/>
      <c r="G41" s="19"/>
      <c r="H41" s="1">
        <f>'1-24 vs 2-28'!K44-'1-24 vs 2-28'!E44</f>
        <v>0</v>
      </c>
      <c r="I41" s="14">
        <f>H41/'1-24 vs 2-28'!E44</f>
        <v>0</v>
      </c>
    </row>
    <row r="43" spans="1:9" ht="15.75" x14ac:dyDescent="0.25">
      <c r="A43" s="3" t="s">
        <v>28</v>
      </c>
    </row>
    <row r="44" spans="1:9" x14ac:dyDescent="0.25">
      <c r="A44" t="s">
        <v>45</v>
      </c>
      <c r="B44" s="1">
        <f>'1-24 vs 2-28'!H47-'1-24 vs 2-28'!B47</f>
        <v>-0.16173611111111108</v>
      </c>
      <c r="C44" s="14">
        <f>B44/'1-24 vs 2-28'!B47</f>
        <v>-0.1851351351351351</v>
      </c>
      <c r="D44" s="1">
        <f>'1-24 vs 2-28'!I47-'1-24 vs 2-28'!C47</f>
        <v>1.3375000000000026E-2</v>
      </c>
      <c r="E44" s="14">
        <f>D44/'1-24 vs 2-28'!C47</f>
        <v>1.9148174659985719E-2</v>
      </c>
      <c r="F44" s="5"/>
      <c r="G44" s="19"/>
      <c r="H44" s="1">
        <f>'1-24 vs 2-28'!K47-'1-24 vs 2-28'!E47</f>
        <v>-1.6666666666667052E-3</v>
      </c>
      <c r="I44" s="14">
        <v>0</v>
      </c>
    </row>
    <row r="45" spans="1:9" x14ac:dyDescent="0.25">
      <c r="A45" t="s">
        <v>29</v>
      </c>
      <c r="B45" s="1">
        <f>'1-24 vs 2-28'!H48-'1-24 vs 2-28'!B48</f>
        <v>-3.2700000000000007E-2</v>
      </c>
      <c r="C45" s="14">
        <f>B45/'1-24 vs 2-28'!B48</f>
        <v>-0.14217391304347829</v>
      </c>
      <c r="D45" s="1">
        <f>'1-24 vs 2-28'!I48-'1-24 vs 2-28'!C48</f>
        <v>1.0000000000000009E-2</v>
      </c>
      <c r="E45" s="14">
        <f>D45/'1-24 vs 2-28'!C48</f>
        <v>3.703703703703707E-2</v>
      </c>
      <c r="F45" s="1">
        <f>'1-24 vs 2-28'!J48-'1-24 vs 2-28'!D48</f>
        <v>-4.9999999999999989E-2</v>
      </c>
      <c r="G45" s="14">
        <f>F45/'1-24 vs 2-28'!D48</f>
        <v>-0.23696682464454971</v>
      </c>
      <c r="H45" s="1">
        <f>'1-24 vs 2-28'!K48-'1-24 vs 2-28'!E48</f>
        <v>0</v>
      </c>
      <c r="I45" s="14">
        <f>H45/'1-24 vs 2-28'!E48</f>
        <v>0</v>
      </c>
    </row>
    <row r="47" spans="1:9" x14ac:dyDescent="0.25">
      <c r="A47" s="11" t="s">
        <v>58</v>
      </c>
      <c r="B47" s="10">
        <f>SUM(B11:B46)</f>
        <v>0.7691508909853253</v>
      </c>
      <c r="D47" s="10">
        <f>SUM(D11:D46)</f>
        <v>3.1849821428571428</v>
      </c>
      <c r="F47" s="10">
        <f>SUM(F11:F46)</f>
        <v>-0.60777777777777775</v>
      </c>
      <c r="H47" s="10">
        <f>SUM(H11:H46)</f>
        <v>-1.1679444444444438</v>
      </c>
    </row>
  </sheetData>
  <mergeCells count="5">
    <mergeCell ref="B8:H8"/>
    <mergeCell ref="B9:C9"/>
    <mergeCell ref="D9:E9"/>
    <mergeCell ref="F9:G9"/>
    <mergeCell ref="H9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1-24 vs 2-28</vt:lpstr>
      <vt:lpstr>Changes by Outlet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2021-01-24T14:53:53Z</dcterms:created>
  <dcterms:modified xsi:type="dcterms:W3CDTF">2021-02-28T21:23:21Z</dcterms:modified>
</cp:coreProperties>
</file>