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59" i="1" l="1"/>
  <c r="O59" i="1" s="1"/>
  <c r="N58" i="1"/>
  <c r="O58" i="1" s="1"/>
  <c r="N57" i="1"/>
  <c r="O57" i="1" s="1"/>
  <c r="N56" i="1"/>
  <c r="O56" i="1" s="1"/>
  <c r="J48" i="1"/>
  <c r="E48" i="1"/>
  <c r="D48" i="1"/>
  <c r="H47" i="1"/>
  <c r="L47" i="1" s="1"/>
  <c r="N47" i="1" s="1"/>
  <c r="O47" i="1" s="1"/>
  <c r="C47" i="1"/>
  <c r="B47" i="1"/>
  <c r="F47" i="1" s="1"/>
  <c r="N45" i="1"/>
  <c r="K44" i="1"/>
  <c r="H44" i="1"/>
  <c r="E44" i="1"/>
  <c r="C44" i="1"/>
  <c r="B44" i="1"/>
  <c r="K43" i="1"/>
  <c r="J43" i="1"/>
  <c r="H43" i="1"/>
  <c r="L43" i="1" s="1"/>
  <c r="D43" i="1"/>
  <c r="F43" i="1" s="1"/>
  <c r="K42" i="1"/>
  <c r="J42" i="1"/>
  <c r="H42" i="1"/>
  <c r="D42" i="1"/>
  <c r="F42" i="1" s="1"/>
  <c r="K41" i="1"/>
  <c r="J41" i="1"/>
  <c r="H41" i="1"/>
  <c r="L41" i="1" s="1"/>
  <c r="D41" i="1"/>
  <c r="F41" i="1" s="1"/>
  <c r="K40" i="1"/>
  <c r="J40" i="1"/>
  <c r="C40" i="1"/>
  <c r="F40" i="1" s="1"/>
  <c r="J39" i="1"/>
  <c r="H39" i="1"/>
  <c r="L39" i="1" s="1"/>
  <c r="B39" i="1"/>
  <c r="F39" i="1" s="1"/>
  <c r="J38" i="1"/>
  <c r="L38" i="1" s="1"/>
  <c r="F38" i="1"/>
  <c r="L37" i="1"/>
  <c r="C37" i="1"/>
  <c r="F37" i="1" s="1"/>
  <c r="N35" i="1"/>
  <c r="K34" i="1"/>
  <c r="J34" i="1"/>
  <c r="H34" i="1"/>
  <c r="K33" i="1"/>
  <c r="J33" i="1"/>
  <c r="D33" i="1"/>
  <c r="C33" i="1"/>
  <c r="B33" i="1"/>
  <c r="K32" i="1"/>
  <c r="J32" i="1"/>
  <c r="H32" i="1"/>
  <c r="L32" i="1" s="1"/>
  <c r="D32" i="1"/>
  <c r="F32" i="1" s="1"/>
  <c r="K31" i="1"/>
  <c r="J31" i="1"/>
  <c r="H31" i="1"/>
  <c r="E31" i="1"/>
  <c r="D31" i="1"/>
  <c r="C31" i="1"/>
  <c r="B31" i="1"/>
  <c r="K30" i="1"/>
  <c r="L30" i="1" s="1"/>
  <c r="E30" i="1"/>
  <c r="C30" i="1"/>
  <c r="B30" i="1"/>
  <c r="K29" i="1"/>
  <c r="J29" i="1"/>
  <c r="H29" i="1"/>
  <c r="E29" i="1"/>
  <c r="C29" i="1"/>
  <c r="B29" i="1"/>
  <c r="L28" i="1"/>
  <c r="C28" i="1"/>
  <c r="B28" i="1"/>
  <c r="L27" i="1"/>
  <c r="C27" i="1"/>
  <c r="F27" i="1" s="1"/>
  <c r="L26" i="1"/>
  <c r="F26" i="1"/>
  <c r="N26" i="1" s="1"/>
  <c r="O26" i="1" s="1"/>
  <c r="K23" i="1"/>
  <c r="J23" i="1"/>
  <c r="H23" i="1"/>
  <c r="E23" i="1"/>
  <c r="D23" i="1"/>
  <c r="C23" i="1"/>
  <c r="B23" i="1"/>
  <c r="K22" i="1"/>
  <c r="J22" i="1"/>
  <c r="E22" i="1"/>
  <c r="C22" i="1"/>
  <c r="B22" i="1"/>
  <c r="K21" i="1"/>
  <c r="J21" i="1"/>
  <c r="E21" i="1"/>
  <c r="D21" i="1"/>
  <c r="C21" i="1"/>
  <c r="B21" i="1"/>
  <c r="K20" i="1"/>
  <c r="L20" i="1" s="1"/>
  <c r="E20" i="1"/>
  <c r="C20" i="1"/>
  <c r="B20" i="1"/>
  <c r="K19" i="1"/>
  <c r="L19" i="1" s="1"/>
  <c r="E19" i="1"/>
  <c r="F19" i="1" s="1"/>
  <c r="B19" i="1"/>
  <c r="K18" i="1"/>
  <c r="L18" i="1" s="1"/>
  <c r="E18" i="1"/>
  <c r="D18" i="1"/>
  <c r="C18" i="1"/>
  <c r="B18" i="1"/>
  <c r="K17" i="1"/>
  <c r="H17" i="1"/>
  <c r="E17" i="1"/>
  <c r="D17" i="1"/>
  <c r="C17" i="1"/>
  <c r="B17" i="1"/>
  <c r="L16" i="1"/>
  <c r="E16" i="1"/>
  <c r="D16" i="1"/>
  <c r="C16" i="1"/>
  <c r="B16" i="1"/>
  <c r="K15" i="1"/>
  <c r="J15" i="1"/>
  <c r="I15" i="1"/>
  <c r="I50" i="1" s="1"/>
  <c r="E15" i="1"/>
  <c r="D15" i="1"/>
  <c r="C15" i="1"/>
  <c r="B15" i="1"/>
  <c r="F15" i="1" s="1"/>
  <c r="K14" i="1"/>
  <c r="J14" i="1"/>
  <c r="E14" i="1"/>
  <c r="D14" i="1"/>
  <c r="B14" i="1"/>
  <c r="N38" i="1" l="1"/>
  <c r="O38" i="1" s="1"/>
  <c r="F17" i="1"/>
  <c r="F21" i="1"/>
  <c r="F30" i="1"/>
  <c r="L31" i="1"/>
  <c r="L42" i="1"/>
  <c r="N42" i="1" s="1"/>
  <c r="O42" i="1" s="1"/>
  <c r="F16" i="1"/>
  <c r="N16" i="1" s="1"/>
  <c r="O16" i="1" s="1"/>
  <c r="L40" i="1"/>
  <c r="N40" i="1" s="1"/>
  <c r="O40" i="1" s="1"/>
  <c r="L17" i="1"/>
  <c r="L29" i="1"/>
  <c r="F20" i="1"/>
  <c r="N20" i="1" s="1"/>
  <c r="O20" i="1" s="1"/>
  <c r="F22" i="1"/>
  <c r="N19" i="1"/>
  <c r="O19" i="1" s="1"/>
  <c r="F18" i="1"/>
  <c r="N18" i="1" s="1"/>
  <c r="O18" i="1" s="1"/>
  <c r="E50" i="1"/>
  <c r="J50" i="1"/>
  <c r="L15" i="1"/>
  <c r="N15" i="1" s="1"/>
  <c r="O15" i="1" s="1"/>
  <c r="F23" i="1"/>
  <c r="C50" i="1"/>
  <c r="D50" i="1"/>
  <c r="L21" i="1"/>
  <c r="N21" i="1" s="1"/>
  <c r="O21" i="1" s="1"/>
  <c r="L33" i="1"/>
  <c r="N33" i="1" s="1"/>
  <c r="O33" i="1" s="1"/>
  <c r="L44" i="1"/>
  <c r="N44" i="1" s="1"/>
  <c r="O44" i="1" s="1"/>
  <c r="F48" i="1"/>
  <c r="N30" i="1"/>
  <c r="O30" i="1" s="1"/>
  <c r="F28" i="1"/>
  <c r="N28" i="1" s="1"/>
  <c r="O28" i="1" s="1"/>
  <c r="L34" i="1"/>
  <c r="N34" i="1" s="1"/>
  <c r="O34" i="1" s="1"/>
  <c r="N39" i="1"/>
  <c r="O39" i="1" s="1"/>
  <c r="B50" i="1"/>
  <c r="H50" i="1"/>
  <c r="N17" i="1"/>
  <c r="O17" i="1" s="1"/>
  <c r="L22" i="1"/>
  <c r="N22" i="1" s="1"/>
  <c r="O22" i="1" s="1"/>
  <c r="L23" i="1"/>
  <c r="N23" i="1" s="1"/>
  <c r="O23" i="1" s="1"/>
  <c r="F29" i="1"/>
  <c r="F31" i="1"/>
  <c r="N31" i="1" s="1"/>
  <c r="O31" i="1" s="1"/>
  <c r="F33" i="1"/>
  <c r="F44" i="1"/>
  <c r="N37" i="1"/>
  <c r="O37" i="1" s="1"/>
  <c r="N27" i="1"/>
  <c r="O27" i="1" s="1"/>
  <c r="N32" i="1"/>
  <c r="O32" i="1" s="1"/>
  <c r="N41" i="1"/>
  <c r="O41" i="1" s="1"/>
  <c r="N43" i="1"/>
  <c r="O43" i="1" s="1"/>
  <c r="O61" i="1"/>
  <c r="F14" i="1"/>
  <c r="L48" i="1"/>
  <c r="N48" i="1" s="1"/>
  <c r="O48" i="1" s="1"/>
  <c r="L14" i="1"/>
  <c r="K50" i="1"/>
  <c r="F51" i="1" l="1"/>
  <c r="N29" i="1"/>
  <c r="O29" i="1" s="1"/>
  <c r="F50" i="1"/>
  <c r="L51" i="1"/>
  <c r="N51" i="1" s="1"/>
  <c r="O51" i="1" s="1"/>
  <c r="L50" i="1"/>
  <c r="N14" i="1"/>
  <c r="O14" i="1" s="1"/>
  <c r="N50" i="1" l="1"/>
  <c r="O50" i="1" s="1"/>
</calcChain>
</file>

<file path=xl/sharedStrings.xml><?xml version="1.0" encoding="utf-8"?>
<sst xmlns="http://schemas.openxmlformats.org/spreadsheetml/2006/main" count="80" uniqueCount="54">
  <si>
    <t>Prepper Pantry Inflation Monitor</t>
  </si>
  <si>
    <t>By the Pickled Prepper, https://pickled-prepper.com/</t>
  </si>
  <si>
    <t>Best price on first page was selected</t>
  </si>
  <si>
    <t>All prices shopped online on 1/24/21 and again on 7/19/21</t>
  </si>
  <si>
    <t>Item</t>
  </si>
  <si>
    <t>Amz</t>
  </si>
  <si>
    <t>WM</t>
  </si>
  <si>
    <t>Costco</t>
  </si>
  <si>
    <t>Sam's</t>
  </si>
  <si>
    <t>Average</t>
  </si>
  <si>
    <t>Change since 1/24/21</t>
  </si>
  <si>
    <t>Canned Goods</t>
  </si>
  <si>
    <t>Spam, 25% less Sodium, 12-oz</t>
  </si>
  <si>
    <t>Chicken, 12.5 oz</t>
  </si>
  <si>
    <t xml:space="preserve">Tuna, per oz </t>
  </si>
  <si>
    <t>Bushes Original Baked Beans, 16.5 oz</t>
  </si>
  <si>
    <t>-</t>
  </si>
  <si>
    <t>Black beans, 15 oz</t>
  </si>
  <si>
    <t>Chili w/beans, 15 oz</t>
  </si>
  <si>
    <t>Peaches, 15 oz</t>
  </si>
  <si>
    <t>Green Beans, 14.5 oz</t>
  </si>
  <si>
    <t>Chicken noodle soup, condensed</t>
  </si>
  <si>
    <t>Jif peanut butter, per 40 ounce jar</t>
  </si>
  <si>
    <t>Dry Goods</t>
  </si>
  <si>
    <t>25-pound bag of jasmine rice</t>
  </si>
  <si>
    <t>Pinto beans, dry, 12 pounds</t>
  </si>
  <si>
    <t>Lentils, brown, per pound</t>
  </si>
  <si>
    <t>Ramen, chicken, per 3 oz packet</t>
  </si>
  <si>
    <t>Spaghetti, 1 pound</t>
  </si>
  <si>
    <t>Quaker Oats, old fashioned, per pound</t>
  </si>
  <si>
    <t>Buttermilk pancake mix, 5 pounds</t>
  </si>
  <si>
    <t>Mac and cheese, per 7.25 ounce box</t>
  </si>
  <si>
    <t>Instant mashed potatoes, per ounce</t>
  </si>
  <si>
    <t>Baking Goods</t>
  </si>
  <si>
    <t>25-pound bag of white all-purpose flour</t>
  </si>
  <si>
    <t>2 pounds brick of yeast</t>
  </si>
  <si>
    <t>Baking powder, per ounce</t>
  </si>
  <si>
    <t>Pure vanilla extract, per ounce</t>
  </si>
  <si>
    <t>Chocolate chips, semi-sweet, per ounce</t>
  </si>
  <si>
    <t>Raisins, per ounce</t>
  </si>
  <si>
    <t>Coconut oil, per ounce</t>
  </si>
  <si>
    <t>Powdered milk, instant, per gallon</t>
  </si>
  <si>
    <t>Paper Products</t>
  </si>
  <si>
    <t>Scott's toilet paper, 1,000 piece roll</t>
  </si>
  <si>
    <t>33-gallon trash bag w/draw string</t>
  </si>
  <si>
    <t>Total</t>
  </si>
  <si>
    <t>Unleaded regular gasoline, per gallon</t>
  </si>
  <si>
    <t>Diesel Fuel, per gallon</t>
  </si>
  <si>
    <t>Heating Fuel, per gallon</t>
  </si>
  <si>
    <t>Propane, per gallon</t>
  </si>
  <si>
    <t>Copyright 2021 by the Pickled Prepper and 3P Services, LLC.</t>
  </si>
  <si>
    <t xml:space="preserve">Permission to reprint is granted as long as you inlcude with a link to our original article </t>
  </si>
  <si>
    <t>and credit the pickled-prepper.com</t>
  </si>
  <si>
    <t>Pfule prices from eia.gov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</si>
</sst>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2" fontId="6" fillId="0" borderId="0" xfId="0" applyNumberFormat="1" applyFont="1"/>
    <xf numFmtId="2" fontId="5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7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7" fillId="0" borderId="0" xfId="0" quotePrefix="1" applyNumberFormat="1" applyFont="1" applyAlignment="1">
      <alignment horizontal="right"/>
    </xf>
    <xf numFmtId="2" fontId="9" fillId="0" borderId="0" xfId="0" applyNumberFormat="1" applyFont="1"/>
    <xf numFmtId="2" fontId="8" fillId="0" borderId="0" xfId="0" quotePrefix="1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quotePrefix="1" applyNumberFormat="1" applyAlignment="1">
      <alignment horizontal="center"/>
    </xf>
    <xf numFmtId="0" fontId="3" fillId="0" borderId="1" xfId="0" applyFont="1" applyBorder="1" applyAlignment="1"/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3" sqref="A3"/>
    </sheetView>
  </sheetViews>
  <sheetFormatPr defaultRowHeight="15" x14ac:dyDescent="0.25"/>
  <cols>
    <col min="1" max="1" width="39" customWidth="1"/>
  </cols>
  <sheetData>
    <row r="1" spans="1:15" x14ac:dyDescent="0.25">
      <c r="B1" s="1"/>
      <c r="C1" s="1"/>
      <c r="D1" s="1"/>
      <c r="E1" s="1"/>
      <c r="O1" s="2"/>
    </row>
    <row r="2" spans="1:15" x14ac:dyDescent="0.25">
      <c r="B2" s="1"/>
      <c r="C2" s="1"/>
      <c r="D2" s="1"/>
      <c r="E2" s="1"/>
      <c r="O2" s="2"/>
    </row>
    <row r="3" spans="1:15" ht="21" x14ac:dyDescent="0.35">
      <c r="A3" s="3" t="s">
        <v>0</v>
      </c>
      <c r="B3" s="1"/>
      <c r="C3" s="1"/>
      <c r="D3" s="1"/>
      <c r="E3" s="1"/>
      <c r="O3" s="2"/>
    </row>
    <row r="4" spans="1:15" x14ac:dyDescent="0.25">
      <c r="B4" s="1"/>
      <c r="C4" s="1"/>
      <c r="D4" s="1"/>
      <c r="E4" s="1"/>
      <c r="O4" s="2"/>
    </row>
    <row r="5" spans="1:15" x14ac:dyDescent="0.25">
      <c r="A5" t="s">
        <v>1</v>
      </c>
      <c r="B5" s="1"/>
      <c r="C5" s="1"/>
      <c r="D5" s="1"/>
      <c r="E5" s="1"/>
      <c r="O5" s="2"/>
    </row>
    <row r="6" spans="1:15" x14ac:dyDescent="0.25">
      <c r="B6" s="1"/>
      <c r="C6" s="1"/>
      <c r="D6" s="1"/>
      <c r="E6" s="1"/>
      <c r="O6" s="2"/>
    </row>
    <row r="7" spans="1:15" x14ac:dyDescent="0.25">
      <c r="A7" t="s">
        <v>2</v>
      </c>
      <c r="B7" s="1"/>
      <c r="C7" s="1"/>
      <c r="D7" s="1"/>
      <c r="E7" s="1"/>
      <c r="O7" s="2"/>
    </row>
    <row r="8" spans="1:15" x14ac:dyDescent="0.25">
      <c r="A8" t="s">
        <v>3</v>
      </c>
      <c r="B8" s="1"/>
      <c r="C8" s="1"/>
      <c r="D8" s="1"/>
      <c r="E8" s="1"/>
      <c r="O8" s="2"/>
    </row>
    <row r="9" spans="1:15" x14ac:dyDescent="0.25">
      <c r="B9" s="1"/>
      <c r="C9" s="1"/>
      <c r="D9" s="1"/>
      <c r="E9" s="1"/>
      <c r="O9" s="2"/>
    </row>
    <row r="10" spans="1:15" x14ac:dyDescent="0.25">
      <c r="B10" s="1"/>
      <c r="C10" s="1"/>
      <c r="D10" s="1"/>
      <c r="E10" s="1"/>
      <c r="O10" s="2"/>
    </row>
    <row r="11" spans="1:15" x14ac:dyDescent="0.25">
      <c r="B11" s="21">
        <v>44220</v>
      </c>
      <c r="C11" s="21"/>
      <c r="D11" s="21"/>
      <c r="E11" s="21"/>
      <c r="F11" s="21"/>
      <c r="H11" s="21">
        <v>44396</v>
      </c>
      <c r="I11" s="21"/>
      <c r="J11" s="21"/>
      <c r="K11" s="21"/>
      <c r="L11" s="21"/>
      <c r="O11" s="2"/>
    </row>
    <row r="12" spans="1:15" ht="15.75" x14ac:dyDescent="0.25">
      <c r="A12" s="4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6" t="s">
        <v>9</v>
      </c>
      <c r="G12" s="4"/>
      <c r="H12" s="5" t="s">
        <v>5</v>
      </c>
      <c r="I12" s="5" t="s">
        <v>6</v>
      </c>
      <c r="J12" s="5" t="s">
        <v>7</v>
      </c>
      <c r="K12" s="5" t="s">
        <v>8</v>
      </c>
      <c r="L12" s="6" t="s">
        <v>9</v>
      </c>
      <c r="M12" s="4"/>
      <c r="N12" s="20" t="s">
        <v>10</v>
      </c>
      <c r="O12" s="20"/>
    </row>
    <row r="13" spans="1:15" ht="15.75" x14ac:dyDescent="0.25">
      <c r="A13" s="7" t="s">
        <v>11</v>
      </c>
      <c r="B13" s="1"/>
      <c r="C13" s="1"/>
      <c r="D13" s="1"/>
      <c r="E13" s="1"/>
      <c r="L13" s="8"/>
      <c r="O13" s="2"/>
    </row>
    <row r="14" spans="1:15" ht="15.75" x14ac:dyDescent="0.25">
      <c r="A14" t="s">
        <v>12</v>
      </c>
      <c r="B14" s="9">
        <f>35.04/12</f>
        <v>2.92</v>
      </c>
      <c r="C14" s="9">
        <v>2.92</v>
      </c>
      <c r="D14" s="9">
        <f>20.99/8</f>
        <v>2.6237499999999998</v>
      </c>
      <c r="E14" s="9">
        <f>19.24/8</f>
        <v>2.4049999999999998</v>
      </c>
      <c r="F14" s="10">
        <f>(B14+C14+D14+E14)/4</f>
        <v>2.7171874999999996</v>
      </c>
      <c r="H14" s="11">
        <v>3.62</v>
      </c>
      <c r="I14" s="12">
        <v>3.12</v>
      </c>
      <c r="J14" s="11">
        <f>20.99/8</f>
        <v>2.6237499999999998</v>
      </c>
      <c r="K14" s="11">
        <f>19.24/8</f>
        <v>2.4049999999999998</v>
      </c>
      <c r="L14" s="10">
        <f>(H14+I14+J14+K14)/4</f>
        <v>2.9421874999999997</v>
      </c>
      <c r="N14" s="1">
        <f>(L14-F14)</f>
        <v>0.22500000000000009</v>
      </c>
      <c r="O14" s="2">
        <f>N14/F14</f>
        <v>8.2806210465784971E-2</v>
      </c>
    </row>
    <row r="15" spans="1:15" ht="15.75" x14ac:dyDescent="0.25">
      <c r="A15" t="s">
        <v>13</v>
      </c>
      <c r="B15" s="9">
        <f>53.5/24</f>
        <v>2.2291666666666665</v>
      </c>
      <c r="C15" s="9">
        <f>19.44/6</f>
        <v>3.24</v>
      </c>
      <c r="D15" s="9">
        <f>11.49/6</f>
        <v>1.915</v>
      </c>
      <c r="E15" s="9">
        <f>9.98/6</f>
        <v>1.6633333333333333</v>
      </c>
      <c r="F15" s="10">
        <f>(B15+C15+D15+E15)/4</f>
        <v>2.2618749999999999</v>
      </c>
      <c r="H15" s="11">
        <v>2.95</v>
      </c>
      <c r="I15" s="12">
        <f>3.98/2</f>
        <v>1.99</v>
      </c>
      <c r="J15" s="11">
        <f>11.49/6</f>
        <v>1.915</v>
      </c>
      <c r="K15" s="11">
        <f>9.95/6</f>
        <v>1.6583333333333332</v>
      </c>
      <c r="L15" s="10">
        <f>(H15+I15+J15+K15)/4</f>
        <v>2.1283333333333334</v>
      </c>
      <c r="N15" s="1">
        <f t="shared" ref="N15:N23" si="0">(L15-F15)</f>
        <v>-0.13354166666666645</v>
      </c>
      <c r="O15" s="2">
        <f t="shared" ref="O15:O23" si="1">N15/F15</f>
        <v>-5.9040250529612141E-2</v>
      </c>
    </row>
    <row r="16" spans="1:15" ht="15.75" x14ac:dyDescent="0.25">
      <c r="A16" t="s">
        <v>14</v>
      </c>
      <c r="B16" s="9">
        <f>42.24/48/5</f>
        <v>0.17599999999999999</v>
      </c>
      <c r="C16" s="9">
        <f>6.84/8/5</f>
        <v>0.17099999999999999</v>
      </c>
      <c r="D16" s="9">
        <f>13.99/12/7</f>
        <v>0.16654761904761903</v>
      </c>
      <c r="E16" s="9">
        <f>9.88/12/5</f>
        <v>0.16466666666666668</v>
      </c>
      <c r="F16" s="10">
        <f>(B16+D16+E16)/3</f>
        <v>0.16907142857142854</v>
      </c>
      <c r="H16" s="11">
        <v>0.13</v>
      </c>
      <c r="I16" s="12">
        <v>0.18</v>
      </c>
      <c r="J16" s="11">
        <v>0.17</v>
      </c>
      <c r="K16" s="11">
        <v>0.15</v>
      </c>
      <c r="L16" s="10">
        <f>(H16+I16+J16+K16)/4</f>
        <v>0.1575</v>
      </c>
      <c r="N16" s="1">
        <f t="shared" si="0"/>
        <v>-1.1571428571428538E-2</v>
      </c>
      <c r="O16" s="2">
        <f t="shared" si="1"/>
        <v>-6.8441064638783092E-2</v>
      </c>
    </row>
    <row r="17" spans="1:15" ht="15.75" x14ac:dyDescent="0.25">
      <c r="A17" t="s">
        <v>15</v>
      </c>
      <c r="B17" s="9">
        <f>14.39/8</f>
        <v>1.7987500000000001</v>
      </c>
      <c r="C17" s="9">
        <f>7.92/4</f>
        <v>1.98</v>
      </c>
      <c r="D17" s="9">
        <f>10.49/8</f>
        <v>1.31125</v>
      </c>
      <c r="E17" s="9">
        <f>8.97/8</f>
        <v>1.1212500000000001</v>
      </c>
      <c r="F17" s="10">
        <f>(B17+C17+D17+E17)/4</f>
        <v>1.5528124999999999</v>
      </c>
      <c r="H17" s="11">
        <f>14.08/8</f>
        <v>1.76</v>
      </c>
      <c r="I17" s="11">
        <v>1.62</v>
      </c>
      <c r="J17" s="13" t="s">
        <v>16</v>
      </c>
      <c r="K17" s="11">
        <f>8.97/8</f>
        <v>1.1212500000000001</v>
      </c>
      <c r="L17" s="10">
        <f>(H17+I17+K17)/3</f>
        <v>1.5004166666666665</v>
      </c>
      <c r="N17" s="1">
        <f t="shared" si="0"/>
        <v>-5.2395833333333419E-2</v>
      </c>
      <c r="O17" s="2">
        <f t="shared" si="1"/>
        <v>-3.3742537063124765E-2</v>
      </c>
    </row>
    <row r="18" spans="1:15" ht="15.75" x14ac:dyDescent="0.25">
      <c r="A18" t="s">
        <v>17</v>
      </c>
      <c r="B18" s="9">
        <f>7.83/6</f>
        <v>1.3049999999999999</v>
      </c>
      <c r="C18" s="9">
        <f>4.88/6</f>
        <v>0.81333333333333335</v>
      </c>
      <c r="D18" s="9">
        <f>7.99/8</f>
        <v>0.99875000000000003</v>
      </c>
      <c r="E18" s="9">
        <f>7.18/8</f>
        <v>0.89749999999999996</v>
      </c>
      <c r="F18" s="10">
        <f>(B18+C18+D18+E18)/4</f>
        <v>1.0036458333333333</v>
      </c>
      <c r="H18" s="11">
        <v>1.46</v>
      </c>
      <c r="I18" s="12">
        <v>1</v>
      </c>
      <c r="J18" s="11">
        <v>1</v>
      </c>
      <c r="K18" s="11">
        <f>4.88/6</f>
        <v>0.81333333333333335</v>
      </c>
      <c r="L18" s="10">
        <f>(H18+I18+J18+K18)/4</f>
        <v>1.0683333333333334</v>
      </c>
      <c r="N18" s="1">
        <f t="shared" si="0"/>
        <v>6.4687500000000009E-2</v>
      </c>
      <c r="O18" s="2">
        <f t="shared" si="1"/>
        <v>6.4452516865594195E-2</v>
      </c>
    </row>
    <row r="19" spans="1:15" ht="15.75" x14ac:dyDescent="0.25">
      <c r="A19" t="s">
        <v>18</v>
      </c>
      <c r="B19" s="9">
        <f>15.7/6</f>
        <v>2.6166666666666667</v>
      </c>
      <c r="C19" s="9">
        <v>1.06</v>
      </c>
      <c r="D19" s="14" t="s">
        <v>16</v>
      </c>
      <c r="E19" s="9">
        <f>7.98/6</f>
        <v>1.33</v>
      </c>
      <c r="F19" s="10">
        <f>(B19+C19+E19)/3</f>
        <v>1.6688888888888889</v>
      </c>
      <c r="H19" s="12">
        <v>1.79</v>
      </c>
      <c r="I19" s="12">
        <v>1.48</v>
      </c>
      <c r="J19" s="13" t="s">
        <v>16</v>
      </c>
      <c r="K19" s="11">
        <f>7.98/6</f>
        <v>1.33</v>
      </c>
      <c r="L19" s="10">
        <f>(H19+I19+K19)/3</f>
        <v>1.5333333333333332</v>
      </c>
      <c r="N19" s="1">
        <f t="shared" si="0"/>
        <v>-0.13555555555555565</v>
      </c>
      <c r="O19" s="2">
        <f t="shared" si="1"/>
        <v>-8.1225033288948131E-2</v>
      </c>
    </row>
    <row r="20" spans="1:15" ht="15.75" x14ac:dyDescent="0.25">
      <c r="A20" t="s">
        <v>19</v>
      </c>
      <c r="B20" s="9">
        <f>15.17/6</f>
        <v>2.5283333333333333</v>
      </c>
      <c r="C20" s="9">
        <f>9.76/6</f>
        <v>1.6266666666666667</v>
      </c>
      <c r="D20" s="14" t="s">
        <v>16</v>
      </c>
      <c r="E20" s="9">
        <f>8.28/6</f>
        <v>1.38</v>
      </c>
      <c r="F20" s="10">
        <f>(B20+C20+E20)/3</f>
        <v>1.845</v>
      </c>
      <c r="H20" s="12">
        <v>2.77</v>
      </c>
      <c r="I20" s="11">
        <v>1.48</v>
      </c>
      <c r="J20" s="13" t="s">
        <v>16</v>
      </c>
      <c r="K20" s="11">
        <f>8.28/6</f>
        <v>1.38</v>
      </c>
      <c r="L20" s="10">
        <f>(H20+I20+K20)/3</f>
        <v>1.8766666666666667</v>
      </c>
      <c r="N20" s="1">
        <f t="shared" si="0"/>
        <v>3.1666666666666732E-2</v>
      </c>
      <c r="O20" s="2">
        <f t="shared" si="1"/>
        <v>1.7163504968383054E-2</v>
      </c>
    </row>
    <row r="21" spans="1:15" ht="15.75" x14ac:dyDescent="0.25">
      <c r="A21" t="s">
        <v>20</v>
      </c>
      <c r="B21" s="9">
        <f>6.85/12</f>
        <v>0.5708333333333333</v>
      </c>
      <c r="C21" s="9">
        <f>5.98/12</f>
        <v>0.49833333333333335</v>
      </c>
      <c r="D21" s="9">
        <f>10.79/12</f>
        <v>0.89916666666666656</v>
      </c>
      <c r="E21" s="9">
        <f>6.78/12</f>
        <v>0.56500000000000006</v>
      </c>
      <c r="F21" s="10">
        <f>(B21+C21+E21)/3</f>
        <v>0.54472222222222222</v>
      </c>
      <c r="H21" s="11">
        <v>0.92</v>
      </c>
      <c r="I21" s="11">
        <v>0.46</v>
      </c>
      <c r="J21" s="12">
        <f>10.79/12</f>
        <v>0.89916666666666656</v>
      </c>
      <c r="K21" s="11">
        <f>6.78/12</f>
        <v>0.56500000000000006</v>
      </c>
      <c r="L21" s="10">
        <f>(H21+I21+J21+K21)/4</f>
        <v>0.71104166666666668</v>
      </c>
      <c r="N21" s="1">
        <f t="shared" si="0"/>
        <v>0.16631944444444446</v>
      </c>
      <c r="O21" s="2">
        <f t="shared" si="1"/>
        <v>0.30532891381947991</v>
      </c>
    </row>
    <row r="22" spans="1:15" ht="15.75" x14ac:dyDescent="0.25">
      <c r="A22" t="s">
        <v>21</v>
      </c>
      <c r="B22" s="9">
        <f>13.99/12</f>
        <v>1.1658333333333333</v>
      </c>
      <c r="C22" s="9">
        <f>10.68/12</f>
        <v>0.89</v>
      </c>
      <c r="D22" s="14" t="s">
        <v>16</v>
      </c>
      <c r="E22" s="9">
        <f>8.98/12</f>
        <v>0.74833333333333341</v>
      </c>
      <c r="F22" s="10">
        <f>(B22+C22+E22)/3</f>
        <v>0.93472222222222223</v>
      </c>
      <c r="H22" s="11">
        <v>0.86</v>
      </c>
      <c r="I22" s="11">
        <v>0.8</v>
      </c>
      <c r="J22" s="15">
        <f>10.99/12</f>
        <v>0.91583333333333339</v>
      </c>
      <c r="K22" s="11">
        <f>9.28/12</f>
        <v>0.77333333333333332</v>
      </c>
      <c r="L22" s="10">
        <f>(H22+I22+J22+K22)/4</f>
        <v>0.83729166666666677</v>
      </c>
      <c r="N22" s="1">
        <f t="shared" si="0"/>
        <v>-9.7430555555555465E-2</v>
      </c>
      <c r="O22" s="2">
        <f t="shared" si="1"/>
        <v>-0.10423476968796425</v>
      </c>
    </row>
    <row r="23" spans="1:15" ht="15.75" x14ac:dyDescent="0.25">
      <c r="A23" t="s">
        <v>22</v>
      </c>
      <c r="B23" s="9">
        <f>10/2</f>
        <v>5</v>
      </c>
      <c r="C23" s="9">
        <f>10/2</f>
        <v>5</v>
      </c>
      <c r="D23" s="9">
        <f>10.49/2</f>
        <v>5.2450000000000001</v>
      </c>
      <c r="E23" s="9">
        <f>9.77/2</f>
        <v>4.8849999999999998</v>
      </c>
      <c r="F23" s="10">
        <f>(B23+C23+D23+E23)/4</f>
        <v>5.0325000000000006</v>
      </c>
      <c r="H23" s="11">
        <f>16.72/2</f>
        <v>8.36</v>
      </c>
      <c r="I23" s="11">
        <v>5.78</v>
      </c>
      <c r="J23" s="11">
        <f>10.49/2</f>
        <v>5.2450000000000001</v>
      </c>
      <c r="K23" s="11">
        <f>7.07/2</f>
        <v>3.5350000000000001</v>
      </c>
      <c r="L23" s="10">
        <f>(H23+I23+J23+K23)/4</f>
        <v>5.73</v>
      </c>
      <c r="N23" s="1">
        <f t="shared" si="0"/>
        <v>0.69749999999999979</v>
      </c>
      <c r="O23" s="2">
        <f t="shared" si="1"/>
        <v>0.13859910581222051</v>
      </c>
    </row>
    <row r="24" spans="1:15" ht="15.75" x14ac:dyDescent="0.25">
      <c r="B24" s="9"/>
      <c r="C24" s="9"/>
      <c r="D24" s="9"/>
      <c r="E24" s="9"/>
      <c r="F24" s="10"/>
      <c r="H24" s="16"/>
      <c r="I24" s="11"/>
      <c r="J24" s="11"/>
      <c r="K24" s="11"/>
      <c r="L24" s="10"/>
      <c r="O24" s="2"/>
    </row>
    <row r="25" spans="1:15" ht="15.75" x14ac:dyDescent="0.25">
      <c r="A25" s="7" t="s">
        <v>23</v>
      </c>
      <c r="B25" s="9"/>
      <c r="C25" s="9"/>
      <c r="D25" s="9"/>
      <c r="E25" s="9"/>
      <c r="F25" s="10"/>
      <c r="H25" s="11"/>
      <c r="I25" s="11"/>
      <c r="J25" s="11"/>
      <c r="K25" s="11"/>
      <c r="L25" s="10"/>
      <c r="O25" s="2"/>
    </row>
    <row r="26" spans="1:15" ht="15.75" x14ac:dyDescent="0.25">
      <c r="A26" t="s">
        <v>24</v>
      </c>
      <c r="B26" s="9">
        <v>26.58</v>
      </c>
      <c r="C26" s="9">
        <v>21.56</v>
      </c>
      <c r="D26" s="9">
        <v>21.99</v>
      </c>
      <c r="E26" s="9">
        <v>17.98</v>
      </c>
      <c r="F26" s="10">
        <f>(B26+C26+D26+E26)/4</f>
        <v>22.0275</v>
      </c>
      <c r="H26" s="12">
        <v>18.309999999999999</v>
      </c>
      <c r="I26" s="12">
        <v>20.9</v>
      </c>
      <c r="J26" s="12">
        <v>21.99</v>
      </c>
      <c r="K26" s="11">
        <v>15.96</v>
      </c>
      <c r="L26" s="10">
        <f>(H26+I26+J26+K26)/4</f>
        <v>19.29</v>
      </c>
      <c r="N26" s="1">
        <f>(L26-F26)</f>
        <v>-2.7375000000000007</v>
      </c>
      <c r="O26" s="2">
        <f t="shared" ref="O26:O34" si="2">N26/F26</f>
        <v>-0.12427647259107936</v>
      </c>
    </row>
    <row r="27" spans="1:15" ht="15.75" x14ac:dyDescent="0.25">
      <c r="A27" t="s">
        <v>25</v>
      </c>
      <c r="B27" s="9">
        <v>24.49</v>
      </c>
      <c r="C27" s="9">
        <f>5.98*1.5</f>
        <v>8.9700000000000006</v>
      </c>
      <c r="D27" s="14" t="s">
        <v>16</v>
      </c>
      <c r="E27" s="9">
        <v>7.86</v>
      </c>
      <c r="F27" s="10">
        <f>(B27+C27+E27)/3</f>
        <v>13.773333333333333</v>
      </c>
      <c r="H27" s="12">
        <v>20.62</v>
      </c>
      <c r="I27" s="12">
        <v>8.93</v>
      </c>
      <c r="J27" s="17" t="s">
        <v>16</v>
      </c>
      <c r="K27" s="11">
        <v>7.86</v>
      </c>
      <c r="L27" s="10">
        <f>(I27+K27)/2</f>
        <v>8.3949999999999996</v>
      </c>
      <c r="N27" s="1">
        <f t="shared" ref="N27:N35" si="3">(L27-F27)</f>
        <v>-5.3783333333333339</v>
      </c>
      <c r="O27" s="2">
        <f t="shared" si="2"/>
        <v>-0.39048886737657312</v>
      </c>
    </row>
    <row r="28" spans="1:15" ht="15.75" x14ac:dyDescent="0.25">
      <c r="A28" t="s">
        <v>26</v>
      </c>
      <c r="B28" s="9">
        <f>14.95/5</f>
        <v>2.9899999999999998</v>
      </c>
      <c r="C28" s="9">
        <f>4.88/4</f>
        <v>1.22</v>
      </c>
      <c r="D28" s="14" t="s">
        <v>16</v>
      </c>
      <c r="E28" s="14" t="s">
        <v>16</v>
      </c>
      <c r="F28" s="10">
        <f>(B28+C28)/2</f>
        <v>2.105</v>
      </c>
      <c r="H28" s="12">
        <v>3.63</v>
      </c>
      <c r="I28" s="12">
        <v>1.34</v>
      </c>
      <c r="J28" s="17" t="s">
        <v>16</v>
      </c>
      <c r="K28" s="13" t="s">
        <v>16</v>
      </c>
      <c r="L28" s="10">
        <f>(H28+I28)/2</f>
        <v>2.4849999999999999</v>
      </c>
      <c r="N28" s="1">
        <f t="shared" si="3"/>
        <v>0.37999999999999989</v>
      </c>
      <c r="O28" s="2">
        <f t="shared" si="2"/>
        <v>0.18052256532066505</v>
      </c>
    </row>
    <row r="29" spans="1:15" ht="15.75" x14ac:dyDescent="0.25">
      <c r="A29" t="s">
        <v>27</v>
      </c>
      <c r="B29" s="9">
        <f>16.1/48</f>
        <v>0.3354166666666667</v>
      </c>
      <c r="C29" s="9">
        <f>5.54/12</f>
        <v>0.46166666666666667</v>
      </c>
      <c r="D29" s="14" t="s">
        <v>16</v>
      </c>
      <c r="E29" s="9">
        <f>8.28/48</f>
        <v>0.17249999999999999</v>
      </c>
      <c r="F29" s="10">
        <f>(B29+C29+E29)/3</f>
        <v>0.32319444444444445</v>
      </c>
      <c r="H29" s="12">
        <f>25.65/48</f>
        <v>0.53437499999999993</v>
      </c>
      <c r="I29" s="12">
        <v>0.19</v>
      </c>
      <c r="J29" s="17">
        <f>10.99/48</f>
        <v>0.22895833333333335</v>
      </c>
      <c r="K29" s="11">
        <f>8.76/48</f>
        <v>0.1825</v>
      </c>
      <c r="L29" s="10">
        <f t="shared" ref="L29:L34" si="4">(H29+I29+J29+K29)/4</f>
        <v>0.28395833333333331</v>
      </c>
      <c r="N29" s="1">
        <f t="shared" si="3"/>
        <v>-3.9236111111111138E-2</v>
      </c>
      <c r="O29" s="2">
        <f t="shared" si="2"/>
        <v>-0.12140094542329187</v>
      </c>
    </row>
    <row r="30" spans="1:15" ht="15.75" x14ac:dyDescent="0.25">
      <c r="A30" t="s">
        <v>28</v>
      </c>
      <c r="B30" s="9">
        <f>3.99/3</f>
        <v>1.33</v>
      </c>
      <c r="C30" s="9">
        <f>7.93/12</f>
        <v>0.66083333333333327</v>
      </c>
      <c r="D30" s="14" t="s">
        <v>16</v>
      </c>
      <c r="E30" s="9">
        <f>6.54/6</f>
        <v>1.0900000000000001</v>
      </c>
      <c r="F30" s="10">
        <f>(B30+C30+E30)/3</f>
        <v>1.0269444444444444</v>
      </c>
      <c r="H30" s="12">
        <v>1.33</v>
      </c>
      <c r="I30" s="12">
        <v>1.32</v>
      </c>
      <c r="J30" s="17">
        <v>1.5</v>
      </c>
      <c r="K30" s="11">
        <f>6.54/6</f>
        <v>1.0900000000000001</v>
      </c>
      <c r="L30" s="10">
        <f t="shared" si="4"/>
        <v>1.31</v>
      </c>
      <c r="N30" s="1">
        <f t="shared" si="3"/>
        <v>0.28305555555555562</v>
      </c>
      <c r="O30" s="2">
        <f t="shared" si="2"/>
        <v>0.27562888828780097</v>
      </c>
    </row>
    <row r="31" spans="1:15" ht="15.75" x14ac:dyDescent="0.25">
      <c r="A31" t="s">
        <v>29</v>
      </c>
      <c r="B31" s="9">
        <f>11.39/8</f>
        <v>1.4237500000000001</v>
      </c>
      <c r="C31" s="9">
        <f>11.39/8</f>
        <v>1.4237500000000001</v>
      </c>
      <c r="D31" s="9">
        <f>9.49/10</f>
        <v>0.94900000000000007</v>
      </c>
      <c r="E31" s="9">
        <f>8.12/10</f>
        <v>0.81199999999999994</v>
      </c>
      <c r="F31" s="10">
        <f>(B31+C31+D31+E31)/4</f>
        <v>1.1521250000000001</v>
      </c>
      <c r="H31" s="12">
        <f>11.39/8</f>
        <v>1.4237500000000001</v>
      </c>
      <c r="I31" s="12">
        <v>1.47</v>
      </c>
      <c r="J31" s="12">
        <f>9.49/10</f>
        <v>0.94900000000000007</v>
      </c>
      <c r="K31" s="11">
        <f>8.98/10</f>
        <v>0.89800000000000002</v>
      </c>
      <c r="L31" s="10">
        <f t="shared" si="4"/>
        <v>1.1851874999999998</v>
      </c>
      <c r="N31" s="1">
        <f t="shared" si="3"/>
        <v>3.3062499999999773E-2</v>
      </c>
      <c r="O31" s="2">
        <f t="shared" si="2"/>
        <v>2.8696972984701981E-2</v>
      </c>
    </row>
    <row r="32" spans="1:15" ht="15.75" x14ac:dyDescent="0.25">
      <c r="A32" t="s">
        <v>30</v>
      </c>
      <c r="B32" s="9">
        <v>5.86</v>
      </c>
      <c r="C32" s="9">
        <v>4.9800000000000004</v>
      </c>
      <c r="D32" s="9">
        <f>6.99/2</f>
        <v>3.4950000000000001</v>
      </c>
      <c r="E32" s="9">
        <v>5.48</v>
      </c>
      <c r="F32" s="10">
        <f t="shared" ref="F32:F33" si="5">(B32+C32+D32+E32)/4</f>
        <v>4.9537500000000003</v>
      </c>
      <c r="H32" s="12">
        <f>9.58/2</f>
        <v>4.79</v>
      </c>
      <c r="I32" s="12">
        <v>4.9800000000000004</v>
      </c>
      <c r="J32" s="12">
        <f>6.99/2</f>
        <v>3.4950000000000001</v>
      </c>
      <c r="K32" s="11">
        <f>5.98/2</f>
        <v>2.99</v>
      </c>
      <c r="L32" s="10">
        <f t="shared" si="4"/>
        <v>4.0637500000000006</v>
      </c>
      <c r="N32" s="1">
        <f t="shared" si="3"/>
        <v>-0.88999999999999968</v>
      </c>
      <c r="O32" s="2">
        <f t="shared" si="2"/>
        <v>-0.17966187231895023</v>
      </c>
    </row>
    <row r="33" spans="1:15" ht="15.75" x14ac:dyDescent="0.25">
      <c r="A33" t="s">
        <v>31</v>
      </c>
      <c r="B33" s="9">
        <f>5.19/5</f>
        <v>1.038</v>
      </c>
      <c r="C33" s="9">
        <f>4.5/5</f>
        <v>0.9</v>
      </c>
      <c r="D33" s="9">
        <f>15.99/18</f>
        <v>0.88833333333333331</v>
      </c>
      <c r="E33" s="9">
        <v>0.78</v>
      </c>
      <c r="F33" s="10">
        <f t="shared" si="5"/>
        <v>0.9015833333333334</v>
      </c>
      <c r="H33" s="12">
        <v>0.98</v>
      </c>
      <c r="I33" s="12">
        <v>0.98</v>
      </c>
      <c r="J33" s="12">
        <f>15.99/18</f>
        <v>0.88833333333333331</v>
      </c>
      <c r="K33" s="11">
        <f>10.88/18</f>
        <v>0.60444444444444445</v>
      </c>
      <c r="L33" s="10">
        <f t="shared" si="4"/>
        <v>0.86319444444444438</v>
      </c>
      <c r="N33" s="1">
        <f t="shared" si="3"/>
        <v>-3.8388888888889028E-2</v>
      </c>
      <c r="O33" s="2">
        <f t="shared" si="2"/>
        <v>-4.2579412761499978E-2</v>
      </c>
    </row>
    <row r="34" spans="1:15" ht="15.75" x14ac:dyDescent="0.25">
      <c r="A34" t="s">
        <v>32</v>
      </c>
      <c r="B34" s="14" t="s">
        <v>16</v>
      </c>
      <c r="C34" s="14" t="s">
        <v>16</v>
      </c>
      <c r="D34" s="9">
        <v>0.13</v>
      </c>
      <c r="E34" s="9">
        <v>0.13</v>
      </c>
      <c r="F34" s="8">
        <v>0.13</v>
      </c>
      <c r="H34" s="12">
        <f>20.58/(3.25*16)</f>
        <v>0.39576923076923076</v>
      </c>
      <c r="I34" s="12">
        <v>0.1</v>
      </c>
      <c r="J34" s="12">
        <f>8.79/(16*3.25)</f>
        <v>0.16903846153846153</v>
      </c>
      <c r="K34" s="11">
        <f>7.36/(3.25*16)</f>
        <v>0.14153846153846156</v>
      </c>
      <c r="L34" s="10">
        <f t="shared" si="4"/>
        <v>0.20158653846153846</v>
      </c>
      <c r="N34" s="1">
        <f t="shared" si="3"/>
        <v>7.1586538461538451E-2</v>
      </c>
      <c r="O34" s="2">
        <f t="shared" si="2"/>
        <v>0.55066568047337272</v>
      </c>
    </row>
    <row r="35" spans="1:15" ht="15.75" x14ac:dyDescent="0.25">
      <c r="B35" s="9"/>
      <c r="C35" s="9"/>
      <c r="D35" s="9"/>
      <c r="E35" s="9"/>
      <c r="F35" s="10"/>
      <c r="H35" s="12"/>
      <c r="I35" s="12"/>
      <c r="J35" s="12"/>
      <c r="K35" s="11"/>
      <c r="L35" s="10"/>
      <c r="N35" s="1">
        <f t="shared" si="3"/>
        <v>0</v>
      </c>
      <c r="O35" s="2"/>
    </row>
    <row r="36" spans="1:15" ht="15.75" x14ac:dyDescent="0.25">
      <c r="A36" s="7" t="s">
        <v>33</v>
      </c>
      <c r="B36" s="9"/>
      <c r="C36" s="9"/>
      <c r="D36" s="9"/>
      <c r="E36" s="9"/>
      <c r="F36" s="10"/>
      <c r="H36" s="12"/>
      <c r="I36" s="12"/>
      <c r="J36" s="12"/>
      <c r="K36" s="11"/>
      <c r="L36" s="10"/>
      <c r="O36" s="2"/>
    </row>
    <row r="37" spans="1:15" ht="15.75" x14ac:dyDescent="0.25">
      <c r="A37" t="s">
        <v>34</v>
      </c>
      <c r="B37" s="9">
        <v>35.880000000000003</v>
      </c>
      <c r="C37" s="9">
        <f>(5.98*2.5)</f>
        <v>14.950000000000001</v>
      </c>
      <c r="D37" s="9">
        <v>7.49</v>
      </c>
      <c r="E37" s="9">
        <v>6.48</v>
      </c>
      <c r="F37" s="10">
        <f>(B37+C37+D37+E37)/4</f>
        <v>16.200000000000003</v>
      </c>
      <c r="H37" s="12">
        <v>22.39</v>
      </c>
      <c r="I37" s="12">
        <v>13.3</v>
      </c>
      <c r="J37" s="12">
        <v>9.49</v>
      </c>
      <c r="K37" s="11">
        <v>7.38</v>
      </c>
      <c r="L37" s="10">
        <f t="shared" ref="L37:L43" si="6">(H37+I37+J37+K37)/4</f>
        <v>13.14</v>
      </c>
      <c r="N37" s="1">
        <f>(L37-F37)</f>
        <v>-3.0600000000000023</v>
      </c>
      <c r="O37" s="2">
        <f t="shared" ref="O37:O44" si="7">N37/F37</f>
        <v>-0.18888888888888899</v>
      </c>
    </row>
    <row r="38" spans="1:15" ht="15.75" x14ac:dyDescent="0.25">
      <c r="A38" t="s">
        <v>35</v>
      </c>
      <c r="B38" s="9">
        <v>11.99</v>
      </c>
      <c r="C38" s="9">
        <v>10.26</v>
      </c>
      <c r="D38" s="9">
        <v>4.99</v>
      </c>
      <c r="E38" s="9">
        <v>4.9800000000000004</v>
      </c>
      <c r="F38" s="10">
        <f>(B38+C38+D38+E38)/4</f>
        <v>8.0549999999999997</v>
      </c>
      <c r="H38" s="12">
        <v>11.39</v>
      </c>
      <c r="I38" s="12">
        <v>10.89</v>
      </c>
      <c r="J38" s="18">
        <f>4.99</f>
        <v>4.99</v>
      </c>
      <c r="K38" s="11">
        <v>4.9800000000000004</v>
      </c>
      <c r="L38" s="10">
        <f t="shared" si="6"/>
        <v>8.0625</v>
      </c>
      <c r="N38" s="1">
        <f t="shared" ref="N38:N51" si="8">(L38-F38)</f>
        <v>7.5000000000002842E-3</v>
      </c>
      <c r="O38" s="2">
        <f t="shared" si="7"/>
        <v>9.3109869646186029E-4</v>
      </c>
    </row>
    <row r="39" spans="1:15" ht="15.75" x14ac:dyDescent="0.25">
      <c r="A39" t="s">
        <v>36</v>
      </c>
      <c r="B39" s="9">
        <f>12.99/(16*2.2)</f>
        <v>0.36903409090909089</v>
      </c>
      <c r="C39" s="9">
        <v>0.12</v>
      </c>
      <c r="D39" s="14" t="s">
        <v>16</v>
      </c>
      <c r="E39" s="9">
        <v>0.11</v>
      </c>
      <c r="F39" s="10">
        <f>(B39+C39+E39)/3</f>
        <v>0.1996780303030303</v>
      </c>
      <c r="H39" s="12">
        <f>9.48/22</f>
        <v>0.43090909090909091</v>
      </c>
      <c r="I39" s="12">
        <v>0.14000000000000001</v>
      </c>
      <c r="J39" s="17">
        <f>7.99/64</f>
        <v>0.12484375</v>
      </c>
      <c r="K39" s="11">
        <v>0.11</v>
      </c>
      <c r="L39" s="10">
        <f t="shared" si="6"/>
        <v>0.20143821022727273</v>
      </c>
      <c r="N39" s="1">
        <f t="shared" si="8"/>
        <v>1.7601799242424332E-3</v>
      </c>
      <c r="O39" s="2">
        <f t="shared" si="7"/>
        <v>8.8150905814284811E-3</v>
      </c>
    </row>
    <row r="40" spans="1:15" ht="15.75" x14ac:dyDescent="0.25">
      <c r="A40" t="s">
        <v>37</v>
      </c>
      <c r="B40" s="9">
        <v>3.94</v>
      </c>
      <c r="C40" s="9">
        <f>9.69/4</f>
        <v>2.4224999999999999</v>
      </c>
      <c r="D40" s="14" t="s">
        <v>16</v>
      </c>
      <c r="E40" s="9">
        <v>2.19</v>
      </c>
      <c r="F40" s="10">
        <f>(B40+C40+E40)/3</f>
        <v>2.8508333333333336</v>
      </c>
      <c r="H40" s="12">
        <v>2.1800000000000002</v>
      </c>
      <c r="I40" s="12">
        <v>2.4900000000000002</v>
      </c>
      <c r="J40" s="17">
        <f>29.99/12</f>
        <v>2.4991666666666665</v>
      </c>
      <c r="K40" s="11">
        <f>17.48/8</f>
        <v>2.1850000000000001</v>
      </c>
      <c r="L40" s="10">
        <f t="shared" si="6"/>
        <v>2.3385416666666665</v>
      </c>
      <c r="N40" s="1">
        <f t="shared" si="8"/>
        <v>-0.51229166666666703</v>
      </c>
      <c r="O40" s="2">
        <f t="shared" si="7"/>
        <v>-0.17969891844489927</v>
      </c>
    </row>
    <row r="41" spans="1:15" ht="15.75" x14ac:dyDescent="0.25">
      <c r="A41" t="s">
        <v>38</v>
      </c>
      <c r="B41" s="9">
        <v>0.24</v>
      </c>
      <c r="C41" s="9">
        <v>0.19</v>
      </c>
      <c r="D41" s="9">
        <f>11.99/(4.5*16)</f>
        <v>0.16652777777777777</v>
      </c>
      <c r="E41" s="9">
        <v>0.14000000000000001</v>
      </c>
      <c r="F41" s="10">
        <f>(B41+C41+D41+E41)/4</f>
        <v>0.18413194444444445</v>
      </c>
      <c r="H41" s="12">
        <f>21.87/(4.5*16)</f>
        <v>0.30375000000000002</v>
      </c>
      <c r="I41" s="12">
        <v>0.21</v>
      </c>
      <c r="J41" s="12">
        <f>12.39/(4.5*16)</f>
        <v>0.17208333333333334</v>
      </c>
      <c r="K41" s="11">
        <f>9.98/72</f>
        <v>0.13861111111111113</v>
      </c>
      <c r="L41" s="10">
        <f t="shared" si="6"/>
        <v>0.20611111111111113</v>
      </c>
      <c r="N41" s="1">
        <f t="shared" si="8"/>
        <v>2.1979166666666689E-2</v>
      </c>
      <c r="O41" s="2">
        <f t="shared" si="7"/>
        <v>0.119366396379408</v>
      </c>
    </row>
    <row r="42" spans="1:15" ht="15.75" x14ac:dyDescent="0.25">
      <c r="A42" t="s">
        <v>39</v>
      </c>
      <c r="B42" s="9">
        <v>0.3</v>
      </c>
      <c r="C42" s="9">
        <v>0.15</v>
      </c>
      <c r="D42" s="9">
        <f>10.49/(16*4.5)</f>
        <v>0.14569444444444446</v>
      </c>
      <c r="E42" s="9">
        <v>0.1</v>
      </c>
      <c r="F42" s="10">
        <f>(B42+C42+D42+E42)/4</f>
        <v>0.1739236111111111</v>
      </c>
      <c r="H42" s="12">
        <f>20.79/(5*16)</f>
        <v>0.25987499999999997</v>
      </c>
      <c r="I42" s="12">
        <v>0.15</v>
      </c>
      <c r="J42" s="12">
        <f>10.49/(4.5*16)</f>
        <v>0.14569444444444446</v>
      </c>
      <c r="K42" s="11">
        <f>8.98/60</f>
        <v>0.14966666666666667</v>
      </c>
      <c r="L42" s="10">
        <f t="shared" si="6"/>
        <v>0.17630902777777779</v>
      </c>
      <c r="N42" s="1">
        <f t="shared" si="8"/>
        <v>2.3854166666666954E-3</v>
      </c>
      <c r="O42" s="2">
        <f t="shared" si="7"/>
        <v>1.3715312437612464E-2</v>
      </c>
    </row>
    <row r="43" spans="1:15" ht="15.75" x14ac:dyDescent="0.25">
      <c r="A43" t="s">
        <v>40</v>
      </c>
      <c r="B43" s="9">
        <v>0.21</v>
      </c>
      <c r="C43" s="9">
        <v>0.18</v>
      </c>
      <c r="D43" s="9">
        <f>15.99/84</f>
        <v>0.19035714285714286</v>
      </c>
      <c r="E43" s="9">
        <v>0.14000000000000001</v>
      </c>
      <c r="F43" s="10">
        <f>(B43+C43+D43+E43)/4</f>
        <v>0.18008928571428573</v>
      </c>
      <c r="H43" s="12">
        <f>11.96/56</f>
        <v>0.21357142857142858</v>
      </c>
      <c r="I43" s="12">
        <v>0.18</v>
      </c>
      <c r="J43" s="12">
        <f>15.99/84</f>
        <v>0.19035714285714286</v>
      </c>
      <c r="K43" s="11">
        <f>7.84/56</f>
        <v>0.13999999999999999</v>
      </c>
      <c r="L43" s="10">
        <f t="shared" si="6"/>
        <v>0.18098214285714287</v>
      </c>
      <c r="N43" s="1">
        <f t="shared" si="8"/>
        <v>8.9285714285713969E-4</v>
      </c>
      <c r="O43" s="2">
        <f t="shared" si="7"/>
        <v>4.9578582052553118E-3</v>
      </c>
    </row>
    <row r="44" spans="1:15" ht="15.75" x14ac:dyDescent="0.25">
      <c r="A44" t="s">
        <v>41</v>
      </c>
      <c r="B44" s="9">
        <f>23.88/(18/4)</f>
        <v>5.3066666666666666</v>
      </c>
      <c r="C44" s="9">
        <f>15.98/5</f>
        <v>3.1960000000000002</v>
      </c>
      <c r="D44" s="14" t="s">
        <v>16</v>
      </c>
      <c r="E44" s="9">
        <f>14.98/(22/4)</f>
        <v>2.7236363636363636</v>
      </c>
      <c r="F44" s="10">
        <f>(B44+C44+E44)/3</f>
        <v>3.7421010101010097</v>
      </c>
      <c r="H44" s="12">
        <f>23.88/(18/4)</f>
        <v>5.3066666666666666</v>
      </c>
      <c r="I44" s="12">
        <v>3.35</v>
      </c>
      <c r="J44" s="17" t="s">
        <v>16</v>
      </c>
      <c r="K44" s="11">
        <f>17.28/(22/4)</f>
        <v>3.1418181818181821</v>
      </c>
      <c r="L44" s="10">
        <f>(H44+I44+K44)/3</f>
        <v>3.9328282828282828</v>
      </c>
      <c r="N44" s="1">
        <f t="shared" si="8"/>
        <v>0.19072727272727308</v>
      </c>
      <c r="O44" s="2">
        <f t="shared" si="7"/>
        <v>5.0967964844467098E-2</v>
      </c>
    </row>
    <row r="45" spans="1:15" ht="15.75" x14ac:dyDescent="0.25">
      <c r="B45" s="1"/>
      <c r="C45" s="1"/>
      <c r="D45" s="1"/>
      <c r="E45" s="1"/>
      <c r="F45" s="10"/>
      <c r="H45" s="11"/>
      <c r="I45" s="11"/>
      <c r="J45" s="11"/>
      <c r="K45" s="11"/>
      <c r="L45" s="10"/>
      <c r="N45" s="1">
        <f t="shared" si="8"/>
        <v>0</v>
      </c>
      <c r="O45" s="2"/>
    </row>
    <row r="46" spans="1:15" ht="15.75" x14ac:dyDescent="0.25">
      <c r="A46" s="7" t="s">
        <v>42</v>
      </c>
      <c r="B46" s="1"/>
      <c r="C46" s="1"/>
      <c r="D46" s="1"/>
      <c r="E46" s="1"/>
      <c r="F46" s="10"/>
      <c r="H46" s="11"/>
      <c r="I46" s="11"/>
      <c r="J46" s="11"/>
      <c r="K46" s="11"/>
      <c r="L46" s="10"/>
      <c r="N46" s="1"/>
      <c r="O46" s="2"/>
    </row>
    <row r="47" spans="1:15" ht="15.75" x14ac:dyDescent="0.25">
      <c r="A47" t="s">
        <v>43</v>
      </c>
      <c r="B47" s="1">
        <f>31.45/36</f>
        <v>0.87361111111111112</v>
      </c>
      <c r="C47" s="1">
        <f>13.97/20</f>
        <v>0.69850000000000001</v>
      </c>
      <c r="D47" s="19" t="s">
        <v>16</v>
      </c>
      <c r="E47" s="1">
        <v>0.64</v>
      </c>
      <c r="F47" s="10">
        <f>(B47+C47+E47)/3</f>
        <v>0.73737037037037034</v>
      </c>
      <c r="H47" s="11">
        <f>29.59/36</f>
        <v>0.82194444444444448</v>
      </c>
      <c r="I47" s="11">
        <v>0.71</v>
      </c>
      <c r="J47" s="13" t="s">
        <v>16</v>
      </c>
      <c r="K47" s="11">
        <v>0.64</v>
      </c>
      <c r="L47" s="10">
        <f>(H47+I47+K47)/3</f>
        <v>0.72398148148148156</v>
      </c>
      <c r="N47" s="1">
        <f t="shared" si="8"/>
        <v>-1.3388888888888784E-2</v>
      </c>
      <c r="O47" s="2">
        <f t="shared" ref="O47:O48" si="9">N47/F47</f>
        <v>-1.8157617158069073E-2</v>
      </c>
    </row>
    <row r="48" spans="1:15" ht="15.75" x14ac:dyDescent="0.25">
      <c r="A48" t="s">
        <v>44</v>
      </c>
      <c r="B48" s="1">
        <v>0.23</v>
      </c>
      <c r="C48" s="1">
        <v>0.27</v>
      </c>
      <c r="D48" s="1">
        <f>18.99/90</f>
        <v>0.21099999999999999</v>
      </c>
      <c r="E48" s="1">
        <f>15.98/90</f>
        <v>0.17755555555555555</v>
      </c>
      <c r="F48" s="10">
        <f>(B48+C48+D48+E48)/4</f>
        <v>0.22213888888888889</v>
      </c>
      <c r="H48" s="11">
        <v>0.25</v>
      </c>
      <c r="I48" s="11">
        <v>0.2</v>
      </c>
      <c r="J48" s="11">
        <f>20.99/90</f>
        <v>0.23322222222222219</v>
      </c>
      <c r="K48" s="11">
        <v>0.19</v>
      </c>
      <c r="L48" s="10">
        <f>(H48+I48+J48+K48)/4</f>
        <v>0.21830555555555553</v>
      </c>
      <c r="N48" s="1">
        <f t="shared" si="8"/>
        <v>-3.8333333333333552E-3</v>
      </c>
      <c r="O48" s="2">
        <f t="shared" si="9"/>
        <v>-1.7256471176691358E-2</v>
      </c>
    </row>
    <row r="49" spans="1:15" x14ac:dyDescent="0.25">
      <c r="B49" s="1"/>
      <c r="C49" s="1"/>
      <c r="D49" s="1"/>
      <c r="E49" s="1"/>
      <c r="F49" s="10"/>
      <c r="H49" s="1"/>
      <c r="I49" s="1"/>
      <c r="J49" s="1"/>
      <c r="K49" s="1"/>
      <c r="L49" s="10"/>
      <c r="N49" s="1"/>
      <c r="O49" s="2"/>
    </row>
    <row r="50" spans="1:15" x14ac:dyDescent="0.25">
      <c r="A50" t="s">
        <v>45</v>
      </c>
      <c r="B50" s="10">
        <f>SUM(B14:B49)</f>
        <v>143.69706186868686</v>
      </c>
      <c r="C50" s="10">
        <f>SUM(C14:C49)</f>
        <v>90.812583333333336</v>
      </c>
      <c r="D50" s="10">
        <f>SUM(D14:D49)</f>
        <v>53.805376984126994</v>
      </c>
      <c r="E50" s="10">
        <f>SUM(E14:E49)</f>
        <v>67.145775252525254</v>
      </c>
      <c r="F50" s="10">
        <f>SUM(F14:F49)</f>
        <v>96.669122625060112</v>
      </c>
      <c r="H50" s="10">
        <f>SUM(H14:H49)</f>
        <v>120.18061086136086</v>
      </c>
      <c r="I50" s="10">
        <f>SUM(I14:I49)</f>
        <v>89.74</v>
      </c>
      <c r="J50" s="10">
        <f>SUM(J14:J49)</f>
        <v>59.83444768772894</v>
      </c>
      <c r="K50" s="10">
        <f>SUM(K14:K49)</f>
        <v>62.512828865578882</v>
      </c>
      <c r="L50" s="10">
        <f>SUM(L14:L49)</f>
        <v>85.743778461411281</v>
      </c>
      <c r="N50" s="1">
        <f t="shared" si="8"/>
        <v>-10.92534416364883</v>
      </c>
      <c r="O50" s="2">
        <f t="shared" ref="O50:O51" si="10">N50/F50</f>
        <v>-0.11301793030669949</v>
      </c>
    </row>
    <row r="51" spans="1:15" x14ac:dyDescent="0.25">
      <c r="B51" s="10"/>
      <c r="C51" s="1"/>
      <c r="D51" s="1"/>
      <c r="E51" s="1"/>
      <c r="F51" s="1">
        <f>(C50+D50+E50)/3</f>
        <v>70.587911856661862</v>
      </c>
      <c r="H51" s="10"/>
      <c r="I51" s="10"/>
      <c r="J51" s="1"/>
      <c r="K51" s="1"/>
      <c r="L51" s="10">
        <f>(I50+J50+K50)/3</f>
        <v>70.69575885110261</v>
      </c>
      <c r="N51" s="1">
        <f t="shared" si="8"/>
        <v>0.10784699444074874</v>
      </c>
      <c r="O51" s="2">
        <f t="shared" si="10"/>
        <v>1.5278394218509593E-3</v>
      </c>
    </row>
    <row r="52" spans="1:15" x14ac:dyDescent="0.25">
      <c r="B52" s="10"/>
      <c r="C52" s="1"/>
      <c r="D52" s="1"/>
      <c r="E52" s="1"/>
      <c r="F52" s="10"/>
      <c r="H52" s="10"/>
      <c r="I52" s="10"/>
      <c r="J52" s="1"/>
      <c r="K52" s="1"/>
      <c r="L52" s="10"/>
      <c r="N52" s="1"/>
      <c r="O52" s="2"/>
    </row>
    <row r="53" spans="1:15" x14ac:dyDescent="0.25">
      <c r="B53" s="10"/>
      <c r="C53" s="1"/>
      <c r="D53" s="1"/>
      <c r="E53" s="1"/>
      <c r="F53" s="10"/>
      <c r="H53" s="10"/>
      <c r="I53" s="10"/>
      <c r="J53" s="1"/>
      <c r="K53" s="1"/>
      <c r="L53" s="10"/>
      <c r="N53" s="1"/>
      <c r="O53" s="2"/>
    </row>
    <row r="54" spans="1:15" x14ac:dyDescent="0.25">
      <c r="B54" s="10"/>
      <c r="C54" s="1"/>
      <c r="D54" s="1"/>
      <c r="E54" s="1"/>
      <c r="F54" s="10"/>
      <c r="H54" s="10"/>
      <c r="I54" s="10"/>
      <c r="J54" s="1"/>
      <c r="K54" s="1"/>
      <c r="L54" s="10"/>
      <c r="N54" s="1"/>
      <c r="O54" s="2"/>
    </row>
    <row r="55" spans="1:15" ht="15.75" x14ac:dyDescent="0.25">
      <c r="A55" s="7" t="s">
        <v>53</v>
      </c>
      <c r="B55" s="1"/>
      <c r="C55" s="1"/>
      <c r="D55" s="1"/>
      <c r="E55" s="1"/>
      <c r="F55" s="10"/>
      <c r="H55" s="1"/>
      <c r="I55" s="1"/>
      <c r="J55" s="1"/>
      <c r="K55" s="1"/>
      <c r="L55" s="10"/>
      <c r="O55" s="2"/>
    </row>
    <row r="56" spans="1:15" x14ac:dyDescent="0.25">
      <c r="A56" t="s">
        <v>46</v>
      </c>
      <c r="B56" s="1"/>
      <c r="C56" s="1"/>
      <c r="D56" s="1"/>
      <c r="E56" s="1"/>
      <c r="F56" s="10">
        <v>2.379</v>
      </c>
      <c r="I56" s="1"/>
      <c r="J56" s="1"/>
      <c r="K56" s="1"/>
      <c r="L56" s="10">
        <v>3.15</v>
      </c>
      <c r="N56" s="1">
        <f t="shared" ref="N56:N59" si="11">(L56-F56)</f>
        <v>0.77099999999999991</v>
      </c>
      <c r="O56" s="2">
        <f t="shared" ref="O56:O59" si="12">N56/F56</f>
        <v>0.32408575031525849</v>
      </c>
    </row>
    <row r="57" spans="1:15" x14ac:dyDescent="0.25">
      <c r="A57" t="s">
        <v>47</v>
      </c>
      <c r="B57" s="1"/>
      <c r="C57" s="1"/>
      <c r="D57" s="1"/>
      <c r="E57" s="1"/>
      <c r="F57" s="10">
        <v>2.7469999999999999</v>
      </c>
      <c r="I57" s="1"/>
      <c r="J57" s="1"/>
      <c r="K57" s="1"/>
      <c r="L57" s="10">
        <v>3.34</v>
      </c>
      <c r="N57" s="1">
        <f t="shared" si="11"/>
        <v>0.59299999999999997</v>
      </c>
      <c r="O57" s="2">
        <f t="shared" si="12"/>
        <v>0.21587186021113941</v>
      </c>
    </row>
    <row r="58" spans="1:15" x14ac:dyDescent="0.25">
      <c r="A58" t="s">
        <v>48</v>
      </c>
      <c r="B58" s="1"/>
      <c r="C58" s="1"/>
      <c r="D58" s="1"/>
      <c r="E58" s="1"/>
      <c r="F58" s="10">
        <v>2.5640000000000001</v>
      </c>
      <c r="I58" s="1"/>
      <c r="J58" s="1"/>
      <c r="K58" s="1"/>
      <c r="L58" s="10">
        <v>2.86</v>
      </c>
      <c r="N58" s="1">
        <f t="shared" si="11"/>
        <v>0.29599999999999982</v>
      </c>
      <c r="O58" s="2">
        <f t="shared" si="12"/>
        <v>0.11544461778471131</v>
      </c>
    </row>
    <row r="59" spans="1:15" x14ac:dyDescent="0.25">
      <c r="A59" t="s">
        <v>49</v>
      </c>
      <c r="B59" s="1"/>
      <c r="C59" s="1"/>
      <c r="D59" s="1"/>
      <c r="E59" s="1"/>
      <c r="F59" s="10">
        <v>2.1840000000000002</v>
      </c>
      <c r="I59" s="1"/>
      <c r="J59" s="1"/>
      <c r="K59" s="1"/>
      <c r="L59" s="10">
        <v>2.2999999999999998</v>
      </c>
      <c r="N59" s="1">
        <f t="shared" si="11"/>
        <v>0.11599999999999966</v>
      </c>
      <c r="O59" s="2">
        <f t="shared" si="12"/>
        <v>5.3113553113552953E-2</v>
      </c>
    </row>
    <row r="60" spans="1:15" x14ac:dyDescent="0.25">
      <c r="B60" s="1"/>
      <c r="C60" s="1"/>
      <c r="D60" s="1"/>
      <c r="E60" s="1"/>
      <c r="F60" s="10"/>
      <c r="L60" s="10"/>
      <c r="O60" s="2"/>
    </row>
    <row r="61" spans="1:15" x14ac:dyDescent="0.25">
      <c r="B61" s="1"/>
      <c r="C61" s="1"/>
      <c r="D61" s="1"/>
      <c r="E61" s="1"/>
      <c r="F61" s="10"/>
      <c r="L61" s="8"/>
      <c r="O61" s="2">
        <f>(SUM(O56:O60))/4</f>
        <v>0.17712894535616552</v>
      </c>
    </row>
    <row r="62" spans="1:15" x14ac:dyDescent="0.25">
      <c r="A62" t="s">
        <v>50</v>
      </c>
      <c r="B62" s="1"/>
      <c r="C62" s="1"/>
      <c r="D62" s="1"/>
      <c r="E62" s="1"/>
      <c r="F62" s="10"/>
      <c r="L62" s="8"/>
      <c r="O62" s="2"/>
    </row>
    <row r="63" spans="1:15" x14ac:dyDescent="0.25">
      <c r="A63" t="s">
        <v>51</v>
      </c>
      <c r="B63" s="1"/>
      <c r="C63" s="1"/>
      <c r="D63" s="1"/>
      <c r="E63" s="1"/>
      <c r="F63" s="1"/>
      <c r="O63" s="2"/>
    </row>
    <row r="64" spans="1:15" x14ac:dyDescent="0.25">
      <c r="A64" t="s">
        <v>52</v>
      </c>
      <c r="B64" s="1"/>
      <c r="C64" s="1"/>
      <c r="D64" s="1"/>
      <c r="E64" s="1"/>
      <c r="F64" s="1"/>
      <c r="O64" s="2"/>
    </row>
    <row r="65" spans="2:15" x14ac:dyDescent="0.25">
      <c r="B65" s="1"/>
      <c r="C65" s="1"/>
      <c r="D65" s="1"/>
      <c r="E65" s="1"/>
      <c r="F65" s="1"/>
      <c r="O65" s="2"/>
    </row>
    <row r="66" spans="2:15" x14ac:dyDescent="0.25">
      <c r="B66" s="1"/>
      <c r="C66" s="1"/>
      <c r="D66" s="1"/>
      <c r="E66" s="1"/>
      <c r="F66" s="1"/>
      <c r="O66" s="2"/>
    </row>
  </sheetData>
  <sheetProtection password="9BB7" sheet="1" objects="1" scenarios="1"/>
  <mergeCells count="2">
    <mergeCell ref="B11:F11"/>
    <mergeCell ref="H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2021-07-20T05:29:11Z</dcterms:created>
  <dcterms:modified xsi:type="dcterms:W3CDTF">2021-07-20T05:56:17Z</dcterms:modified>
</cp:coreProperties>
</file>