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203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48" i="1" l="1"/>
  <c r="J48" i="1"/>
  <c r="I48" i="1"/>
  <c r="Q48" i="1" s="1"/>
  <c r="H48" i="1"/>
  <c r="P48" i="1" s="1"/>
  <c r="E48" i="1"/>
  <c r="F48" i="1" s="1"/>
  <c r="D48" i="1"/>
  <c r="K47" i="1"/>
  <c r="S47" i="1" s="1"/>
  <c r="I47" i="1"/>
  <c r="C47" i="1"/>
  <c r="B47" i="1"/>
  <c r="P47" i="1" s="1"/>
  <c r="K44" i="1"/>
  <c r="I44" i="1"/>
  <c r="H44" i="1"/>
  <c r="E44" i="1"/>
  <c r="C44" i="1"/>
  <c r="B44" i="1"/>
  <c r="Q43" i="1"/>
  <c r="K43" i="1"/>
  <c r="J43" i="1"/>
  <c r="H43" i="1"/>
  <c r="P43" i="1" s="1"/>
  <c r="D43" i="1"/>
  <c r="R43" i="1" s="1"/>
  <c r="S42" i="1"/>
  <c r="J42" i="1"/>
  <c r="I42" i="1"/>
  <c r="Q42" i="1" s="1"/>
  <c r="H42" i="1"/>
  <c r="P42" i="1" s="1"/>
  <c r="D42" i="1"/>
  <c r="F42" i="1" s="1"/>
  <c r="Q41" i="1"/>
  <c r="P41" i="1"/>
  <c r="K41" i="1"/>
  <c r="S41" i="1" s="1"/>
  <c r="J41" i="1"/>
  <c r="I41" i="1"/>
  <c r="H41" i="1"/>
  <c r="D41" i="1"/>
  <c r="F41" i="1" s="1"/>
  <c r="S40" i="1"/>
  <c r="Q40" i="1"/>
  <c r="P40" i="1"/>
  <c r="K40" i="1"/>
  <c r="J40" i="1"/>
  <c r="H40" i="1"/>
  <c r="L40" i="1" s="1"/>
  <c r="N40" i="1" s="1"/>
  <c r="C40" i="1"/>
  <c r="F40" i="1" s="1"/>
  <c r="Q39" i="1"/>
  <c r="P39" i="1"/>
  <c r="K39" i="1"/>
  <c r="S39" i="1" s="1"/>
  <c r="J39" i="1"/>
  <c r="I39" i="1"/>
  <c r="B39" i="1"/>
  <c r="F39" i="1" s="1"/>
  <c r="S38" i="1"/>
  <c r="R38" i="1"/>
  <c r="Q38" i="1"/>
  <c r="P38" i="1"/>
  <c r="N38" i="1"/>
  <c r="L38" i="1"/>
  <c r="F38" i="1"/>
  <c r="S37" i="1"/>
  <c r="R37" i="1"/>
  <c r="P37" i="1"/>
  <c r="I37" i="1"/>
  <c r="L37" i="1" s="1"/>
  <c r="C37" i="1"/>
  <c r="F37" i="1" s="1"/>
  <c r="K34" i="1"/>
  <c r="S34" i="1" s="1"/>
  <c r="K33" i="1"/>
  <c r="S33" i="1" s="1"/>
  <c r="I33" i="1"/>
  <c r="H33" i="1"/>
  <c r="D33" i="1"/>
  <c r="C33" i="1"/>
  <c r="B33" i="1"/>
  <c r="F33" i="1" s="1"/>
  <c r="Q32" i="1"/>
  <c r="K32" i="1"/>
  <c r="S32" i="1" s="1"/>
  <c r="J32" i="1"/>
  <c r="H32" i="1"/>
  <c r="D32" i="1"/>
  <c r="F32" i="1" s="1"/>
  <c r="K31" i="1"/>
  <c r="S31" i="1" s="1"/>
  <c r="J31" i="1"/>
  <c r="R31" i="1" s="1"/>
  <c r="I31" i="1"/>
  <c r="H31" i="1"/>
  <c r="F31" i="1"/>
  <c r="E31" i="1"/>
  <c r="D31" i="1"/>
  <c r="C31" i="1"/>
  <c r="B31" i="1"/>
  <c r="Q30" i="1"/>
  <c r="P30" i="1"/>
  <c r="K30" i="1"/>
  <c r="S30" i="1" s="1"/>
  <c r="J30" i="1"/>
  <c r="H30" i="1"/>
  <c r="E30" i="1"/>
  <c r="C30" i="1"/>
  <c r="B30" i="1"/>
  <c r="F30" i="1" s="1"/>
  <c r="K29" i="1"/>
  <c r="S29" i="1" s="1"/>
  <c r="J29" i="1"/>
  <c r="I29" i="1"/>
  <c r="H29" i="1"/>
  <c r="L29" i="1" s="1"/>
  <c r="N29" i="1" s="1"/>
  <c r="E29" i="1"/>
  <c r="C29" i="1"/>
  <c r="B29" i="1"/>
  <c r="F29" i="1" s="1"/>
  <c r="L28" i="1"/>
  <c r="C28" i="1"/>
  <c r="B28" i="1"/>
  <c r="P28" i="1" s="1"/>
  <c r="S27" i="1"/>
  <c r="H27" i="1"/>
  <c r="P27" i="1" s="1"/>
  <c r="C27" i="1"/>
  <c r="Q27" i="1" s="1"/>
  <c r="S26" i="1"/>
  <c r="P26" i="1"/>
  <c r="I26" i="1"/>
  <c r="L26" i="1" s="1"/>
  <c r="F26" i="1"/>
  <c r="K23" i="1"/>
  <c r="J23" i="1"/>
  <c r="R23" i="1" s="1"/>
  <c r="I23" i="1"/>
  <c r="H23" i="1"/>
  <c r="E23" i="1"/>
  <c r="D23" i="1"/>
  <c r="C23" i="1"/>
  <c r="B23" i="1"/>
  <c r="P22" i="1"/>
  <c r="K22" i="1"/>
  <c r="J22" i="1"/>
  <c r="H22" i="1"/>
  <c r="E22" i="1"/>
  <c r="C22" i="1"/>
  <c r="Q22" i="1" s="1"/>
  <c r="B22" i="1"/>
  <c r="F22" i="1" s="1"/>
  <c r="K21" i="1"/>
  <c r="S21" i="1" s="1"/>
  <c r="J21" i="1"/>
  <c r="I21" i="1"/>
  <c r="H21" i="1"/>
  <c r="E21" i="1"/>
  <c r="D21" i="1"/>
  <c r="C21" i="1"/>
  <c r="B21" i="1"/>
  <c r="F21" i="1" s="1"/>
  <c r="K20" i="1"/>
  <c r="H20" i="1"/>
  <c r="E20" i="1"/>
  <c r="C20" i="1"/>
  <c r="Q20" i="1" s="1"/>
  <c r="B20" i="1"/>
  <c r="Q19" i="1"/>
  <c r="K19" i="1"/>
  <c r="H19" i="1"/>
  <c r="L19" i="1" s="1"/>
  <c r="E19" i="1"/>
  <c r="B19" i="1"/>
  <c r="Q18" i="1"/>
  <c r="K18" i="1"/>
  <c r="J18" i="1"/>
  <c r="E18" i="1"/>
  <c r="D18" i="1"/>
  <c r="C18" i="1"/>
  <c r="B18" i="1"/>
  <c r="P18" i="1" s="1"/>
  <c r="K17" i="1"/>
  <c r="J17" i="1"/>
  <c r="I17" i="1"/>
  <c r="H17" i="1"/>
  <c r="E17" i="1"/>
  <c r="D17" i="1"/>
  <c r="C17" i="1"/>
  <c r="B17" i="1"/>
  <c r="K16" i="1"/>
  <c r="J16" i="1"/>
  <c r="I16" i="1"/>
  <c r="H16" i="1"/>
  <c r="E16" i="1"/>
  <c r="D16" i="1"/>
  <c r="C16" i="1"/>
  <c r="B16" i="1"/>
  <c r="F16" i="1" s="1"/>
  <c r="K15" i="1"/>
  <c r="J15" i="1"/>
  <c r="I15" i="1"/>
  <c r="H15" i="1"/>
  <c r="E15" i="1"/>
  <c r="D15" i="1"/>
  <c r="C15" i="1"/>
  <c r="B15" i="1"/>
  <c r="Q14" i="1"/>
  <c r="K14" i="1"/>
  <c r="J14" i="1"/>
  <c r="E14" i="1"/>
  <c r="D14" i="1"/>
  <c r="B14" i="1"/>
  <c r="P14" i="1" s="1"/>
  <c r="N37" i="1" l="1"/>
  <c r="R15" i="1"/>
  <c r="S19" i="1"/>
  <c r="Q21" i="1"/>
  <c r="S48" i="1"/>
  <c r="R21" i="1"/>
  <c r="S22" i="1"/>
  <c r="P33" i="1"/>
  <c r="L42" i="1"/>
  <c r="N42" i="1" s="1"/>
  <c r="P15" i="1"/>
  <c r="R18" i="1"/>
  <c r="F20" i="1"/>
  <c r="L22" i="1"/>
  <c r="N22" i="1" s="1"/>
  <c r="Q33" i="1"/>
  <c r="R41" i="1"/>
  <c r="R14" i="1"/>
  <c r="Q17" i="1"/>
  <c r="S18" i="1"/>
  <c r="R32" i="1"/>
  <c r="L16" i="1"/>
  <c r="S20" i="1"/>
  <c r="L18" i="1"/>
  <c r="I50" i="1"/>
  <c r="P31" i="1"/>
  <c r="J50" i="1"/>
  <c r="L21" i="1"/>
  <c r="N21" i="1" s="1"/>
  <c r="Q26" i="1"/>
  <c r="Q44" i="1"/>
  <c r="S15" i="1"/>
  <c r="Q16" i="1"/>
  <c r="F17" i="1"/>
  <c r="Q23" i="1"/>
  <c r="Q29" i="1"/>
  <c r="L41" i="1"/>
  <c r="N41" i="1" s="1"/>
  <c r="S44" i="1"/>
  <c r="R16" i="1"/>
  <c r="S17" i="1"/>
  <c r="F19" i="1"/>
  <c r="N19" i="1" s="1"/>
  <c r="P20" i="1"/>
  <c r="L30" i="1"/>
  <c r="N30" i="1" s="1"/>
  <c r="L32" i="1"/>
  <c r="N32" i="1" s="1"/>
  <c r="L39" i="1"/>
  <c r="N39" i="1" s="1"/>
  <c r="S16" i="1"/>
  <c r="N26" i="1"/>
  <c r="F28" i="1"/>
  <c r="N28" i="1" s="1"/>
  <c r="L33" i="1"/>
  <c r="N33" i="1" s="1"/>
  <c r="P16" i="1"/>
  <c r="F44" i="1"/>
  <c r="R42" i="1"/>
  <c r="Q37" i="1"/>
  <c r="L17" i="1"/>
  <c r="N17" i="1" s="1"/>
  <c r="P17" i="1"/>
  <c r="P44" i="1"/>
  <c r="L44" i="1"/>
  <c r="L14" i="1"/>
  <c r="K50" i="1"/>
  <c r="S14" i="1"/>
  <c r="N16" i="1"/>
  <c r="L23" i="1"/>
  <c r="P23" i="1"/>
  <c r="H50" i="1"/>
  <c r="L48" i="1"/>
  <c r="N48" i="1" s="1"/>
  <c r="R48" i="1"/>
  <c r="Q28" i="1"/>
  <c r="L31" i="1"/>
  <c r="N31" i="1" s="1"/>
  <c r="Q31" i="1"/>
  <c r="F14" i="1"/>
  <c r="E50" i="1"/>
  <c r="Q47" i="1"/>
  <c r="L47" i="1"/>
  <c r="B50" i="1"/>
  <c r="C50" i="1"/>
  <c r="F15" i="1"/>
  <c r="Q15" i="1"/>
  <c r="S23" i="1"/>
  <c r="F23" i="1"/>
  <c r="L43" i="1"/>
  <c r="S43" i="1"/>
  <c r="R17" i="1"/>
  <c r="P21" i="1"/>
  <c r="P29" i="1"/>
  <c r="L34" i="1"/>
  <c r="N34" i="1" s="1"/>
  <c r="L15" i="1"/>
  <c r="F18" i="1"/>
  <c r="N18" i="1" s="1"/>
  <c r="P19" i="1"/>
  <c r="P32" i="1"/>
  <c r="F43" i="1"/>
  <c r="L27" i="1"/>
  <c r="D50" i="1"/>
  <c r="L20" i="1"/>
  <c r="N20" i="1" s="1"/>
  <c r="F47" i="1"/>
  <c r="F27" i="1"/>
  <c r="N27" i="1" l="1"/>
  <c r="N47" i="1"/>
  <c r="P50" i="1"/>
  <c r="N44" i="1"/>
  <c r="N15" i="1"/>
  <c r="F50" i="1"/>
  <c r="Q50" i="1"/>
  <c r="N23" i="1"/>
  <c r="S50" i="1"/>
  <c r="N43" i="1"/>
  <c r="N14" i="1"/>
  <c r="L50" i="1"/>
  <c r="N50" i="1" l="1"/>
</calcChain>
</file>

<file path=xl/sharedStrings.xml><?xml version="1.0" encoding="utf-8"?>
<sst xmlns="http://schemas.openxmlformats.org/spreadsheetml/2006/main" count="80" uniqueCount="49">
  <si>
    <t>Prepper Pantry Inflation Monitor</t>
  </si>
  <si>
    <t>By the Pickled Prepper, https://pickled-prepper.com/</t>
  </si>
  <si>
    <t>Best price on first page of website was selected</t>
  </si>
  <si>
    <t>Green reflects best price</t>
  </si>
  <si>
    <t xml:space="preserve">Change </t>
  </si>
  <si>
    <t>Change by Outlet</t>
  </si>
  <si>
    <t>Item</t>
  </si>
  <si>
    <t>Amz</t>
  </si>
  <si>
    <t>WM</t>
  </si>
  <si>
    <t>Costco</t>
  </si>
  <si>
    <t>Sam's</t>
  </si>
  <si>
    <t>Average</t>
  </si>
  <si>
    <t>AMZ</t>
  </si>
  <si>
    <t>Canned Goods</t>
  </si>
  <si>
    <t>Spam, 25% less Sodium, 12-oz</t>
  </si>
  <si>
    <t>Chicken, 12.5 oz</t>
  </si>
  <si>
    <t xml:space="preserve">Tuna, per oz </t>
  </si>
  <si>
    <t>Bushes Original Baked Beans, 16.5 oz</t>
  </si>
  <si>
    <t>-</t>
  </si>
  <si>
    <t>Black beans, 15 oz</t>
  </si>
  <si>
    <t>Chili w/beans, 15 oz</t>
  </si>
  <si>
    <t>Peaches, 15 oz</t>
  </si>
  <si>
    <t>Green Beans, 14.5 oz</t>
  </si>
  <si>
    <t>Chicken noodle soup, condensed</t>
  </si>
  <si>
    <t>Jif peanut butter, per 40 ounce jar</t>
  </si>
  <si>
    <t>Dry Goods</t>
  </si>
  <si>
    <t>25-pound bag of jasmine rice</t>
  </si>
  <si>
    <t>Pinto beans, dry, 12 pounds</t>
  </si>
  <si>
    <t>Lentils, brown, per pound</t>
  </si>
  <si>
    <t>Ramen, chicken, per 3 oz packet</t>
  </si>
  <si>
    <t>Spaghetti, 1 pound</t>
  </si>
  <si>
    <t>Quaker Oats, old fashioned, per pound</t>
  </si>
  <si>
    <t>Buttermilk pancake mix, 5 pounds</t>
  </si>
  <si>
    <t>Mac and cheese, per 7.25 ounce box</t>
  </si>
  <si>
    <t>Instant mashed potatoes, per ounce</t>
  </si>
  <si>
    <t>Baking Goods</t>
  </si>
  <si>
    <t>25-pound bag of white all-purpose flour</t>
  </si>
  <si>
    <t>2 pounds brick of yeast</t>
  </si>
  <si>
    <t>Baking powder, per ounce</t>
  </si>
  <si>
    <t>Pure vanilla extract, per ounce</t>
  </si>
  <si>
    <t>Chocolate chips, semi-sweet, per ounce</t>
  </si>
  <si>
    <t>Raisins, per ounce</t>
  </si>
  <si>
    <t>Coconut oil, per ounce</t>
  </si>
  <si>
    <t>Powdered milk, instant, per gallon</t>
  </si>
  <si>
    <t>Paper Products</t>
  </si>
  <si>
    <t>Scott's toilet paper, 1,000 piece roll</t>
  </si>
  <si>
    <t>33-gallon trash bag w/draw string</t>
  </si>
  <si>
    <t>Total</t>
  </si>
  <si>
    <t>All prices shopped online on 1/24/21 and again on 11/5/21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</si>
</sst>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2" fontId="0" fillId="0" borderId="0" xfId="0" applyNumberFormat="1"/>
    <xf numFmtId="10" fontId="0" fillId="0" borderId="0" xfId="0" applyNumberFormat="1"/>
    <xf numFmtId="14" fontId="1" fillId="0" borderId="0" xfId="0" applyNumberFormat="1" applyFont="1" applyAlignment="1">
      <alignment horizontal="center"/>
    </xf>
    <xf numFmtId="10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2" fontId="6" fillId="0" borderId="0" xfId="0" applyNumberFormat="1" applyFont="1"/>
    <xf numFmtId="2" fontId="5" fillId="0" borderId="0" xfId="0" applyNumberFormat="1" applyFont="1"/>
    <xf numFmtId="2" fontId="7" fillId="0" borderId="0" xfId="0" applyNumberFormat="1" applyFont="1"/>
    <xf numFmtId="2" fontId="6" fillId="0" borderId="0" xfId="0" quotePrefix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/>
    <xf numFmtId="2" fontId="0" fillId="0" borderId="0" xfId="0" quotePrefix="1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18"/>
  <sheetViews>
    <sheetView tabSelected="1" topLeftCell="A17" workbookViewId="0">
      <selection activeCell="B27" sqref="B27"/>
    </sheetView>
  </sheetViews>
  <sheetFormatPr defaultRowHeight="15" x14ac:dyDescent="0.25"/>
  <cols>
    <col min="1" max="1" width="35.85546875" customWidth="1"/>
    <col min="2" max="2" width="9.7109375" style="2" bestFit="1" customWidth="1"/>
    <col min="3" max="5" width="9.140625" style="2"/>
    <col min="14" max="14" width="9.140625" style="3"/>
  </cols>
  <sheetData>
    <row r="3" spans="1:19" ht="21" x14ac:dyDescent="0.35">
      <c r="A3" s="1" t="s">
        <v>0</v>
      </c>
    </row>
    <row r="5" spans="1:19" x14ac:dyDescent="0.25">
      <c r="A5" t="s">
        <v>1</v>
      </c>
    </row>
    <row r="7" spans="1:19" x14ac:dyDescent="0.25">
      <c r="A7" t="s">
        <v>2</v>
      </c>
    </row>
    <row r="8" spans="1:19" x14ac:dyDescent="0.25">
      <c r="A8" t="s">
        <v>48</v>
      </c>
    </row>
    <row r="9" spans="1:19" x14ac:dyDescent="0.25">
      <c r="A9" t="s">
        <v>3</v>
      </c>
    </row>
    <row r="11" spans="1:19" x14ac:dyDescent="0.25">
      <c r="B11" s="4">
        <v>44220</v>
      </c>
      <c r="C11" s="4"/>
      <c r="D11" s="4"/>
      <c r="E11" s="4"/>
      <c r="F11" s="4"/>
      <c r="H11" s="4">
        <v>44505</v>
      </c>
      <c r="I11" s="4"/>
      <c r="J11" s="4"/>
      <c r="K11" s="4"/>
      <c r="L11" s="4"/>
      <c r="N11" s="5" t="s">
        <v>4</v>
      </c>
      <c r="O11" s="6"/>
      <c r="P11" s="6"/>
      <c r="Q11" s="7" t="s">
        <v>5</v>
      </c>
      <c r="R11" s="7"/>
    </row>
    <row r="12" spans="1:19" s="8" customFormat="1" ht="15.75" x14ac:dyDescent="0.25">
      <c r="A12" s="8" t="s">
        <v>6</v>
      </c>
      <c r="B12" s="9" t="s">
        <v>7</v>
      </c>
      <c r="C12" s="9" t="s">
        <v>8</v>
      </c>
      <c r="D12" s="9" t="s">
        <v>9</v>
      </c>
      <c r="E12" s="9" t="s">
        <v>10</v>
      </c>
      <c r="F12" s="10" t="s">
        <v>11</v>
      </c>
      <c r="H12" s="9" t="s">
        <v>7</v>
      </c>
      <c r="I12" s="9" t="s">
        <v>8</v>
      </c>
      <c r="J12" s="9" t="s">
        <v>9</v>
      </c>
      <c r="K12" s="9" t="s">
        <v>10</v>
      </c>
      <c r="L12" s="10" t="s">
        <v>11</v>
      </c>
      <c r="N12" s="11"/>
      <c r="P12" s="8" t="s">
        <v>12</v>
      </c>
      <c r="Q12" s="9" t="s">
        <v>8</v>
      </c>
      <c r="R12" s="9" t="s">
        <v>9</v>
      </c>
      <c r="S12" s="9" t="s">
        <v>10</v>
      </c>
    </row>
    <row r="13" spans="1:19" ht="15.75" x14ac:dyDescent="0.25">
      <c r="A13" s="12" t="s">
        <v>13</v>
      </c>
      <c r="H13" s="2"/>
      <c r="I13" s="2"/>
      <c r="J13" s="2"/>
      <c r="K13" s="2"/>
      <c r="L13" s="2"/>
    </row>
    <row r="14" spans="1:19" x14ac:dyDescent="0.25">
      <c r="A14" t="s">
        <v>14</v>
      </c>
      <c r="B14" s="14">
        <f>35.04/12</f>
        <v>2.92</v>
      </c>
      <c r="C14" s="14">
        <v>2.92</v>
      </c>
      <c r="D14" s="14">
        <f>20.99/8</f>
        <v>2.6237499999999998</v>
      </c>
      <c r="E14" s="14">
        <f>19.24/8</f>
        <v>2.4049999999999998</v>
      </c>
      <c r="F14" s="15">
        <f>(B14+C14+D14+E14)/4</f>
        <v>2.7171874999999996</v>
      </c>
      <c r="H14" s="2">
        <v>3.23</v>
      </c>
      <c r="I14" s="2">
        <v>3.23</v>
      </c>
      <c r="J14" s="2">
        <f>20.99/8</f>
        <v>2.6237499999999998</v>
      </c>
      <c r="K14" s="16">
        <f>19.98/8</f>
        <v>2.4975000000000001</v>
      </c>
      <c r="L14" s="15">
        <f>(H14+I14+J14+K14)/4</f>
        <v>2.8953125000000002</v>
      </c>
      <c r="N14" s="3">
        <f>(L14-F14)/F14</f>
        <v>6.5554916618746614E-2</v>
      </c>
      <c r="P14" s="3">
        <f>(H14-B14)/B14</f>
        <v>0.10616438356164386</v>
      </c>
      <c r="Q14" s="3">
        <f>(I14-C14)/C14</f>
        <v>0.10616438356164386</v>
      </c>
      <c r="R14" s="3">
        <f>(J14-D14)/D14</f>
        <v>0</v>
      </c>
      <c r="S14" s="3">
        <f>(K14-E14)/E14</f>
        <v>3.8461538461538568E-2</v>
      </c>
    </row>
    <row r="15" spans="1:19" x14ac:dyDescent="0.25">
      <c r="A15" t="s">
        <v>15</v>
      </c>
      <c r="B15" s="14">
        <f>53.5/24</f>
        <v>2.2291666666666665</v>
      </c>
      <c r="C15" s="14">
        <f>19.44/6</f>
        <v>3.24</v>
      </c>
      <c r="D15" s="14">
        <f>11.49/6</f>
        <v>1.915</v>
      </c>
      <c r="E15" s="14">
        <f>9.98/6</f>
        <v>1.6633333333333333</v>
      </c>
      <c r="F15" s="15">
        <f>(B15+C15+D15+E15)/4</f>
        <v>2.2618749999999999</v>
      </c>
      <c r="H15" s="2">
        <f>20/6</f>
        <v>3.3333333333333335</v>
      </c>
      <c r="I15" s="16">
        <f>3.84/2</f>
        <v>1.92</v>
      </c>
      <c r="J15" s="16">
        <f>11.49/6</f>
        <v>1.915</v>
      </c>
      <c r="K15" s="2">
        <f>11.78/6</f>
        <v>1.9633333333333332</v>
      </c>
      <c r="L15" s="15">
        <f>(H15+I15+J15+K15)/4</f>
        <v>2.2829166666666669</v>
      </c>
      <c r="N15" s="3">
        <f>(L15-F15)/F15</f>
        <v>9.3027539836052255E-3</v>
      </c>
      <c r="P15" s="3">
        <f>(H15-B15)/B15</f>
        <v>0.49532710280373848</v>
      </c>
      <c r="Q15" s="3">
        <f>(I15-C15)/C15</f>
        <v>-0.4074074074074075</v>
      </c>
      <c r="R15" s="3">
        <f>(J15-D15)/D15</f>
        <v>0</v>
      </c>
      <c r="S15" s="3">
        <f>(K15-E15)/E15</f>
        <v>0.18036072144288567</v>
      </c>
    </row>
    <row r="16" spans="1:19" x14ac:dyDescent="0.25">
      <c r="A16" t="s">
        <v>16</v>
      </c>
      <c r="B16" s="14">
        <f>42.24/48/5</f>
        <v>0.17599999999999999</v>
      </c>
      <c r="C16" s="14">
        <f>6.84/8/5</f>
        <v>0.17099999999999999</v>
      </c>
      <c r="D16" s="14">
        <f>13.99/12/7</f>
        <v>0.16654761904761903</v>
      </c>
      <c r="E16" s="14">
        <f>9.88/12/5</f>
        <v>0.16466666666666668</v>
      </c>
      <c r="F16" s="15">
        <f>(B16+D16+E16)/3</f>
        <v>0.16907142857142854</v>
      </c>
      <c r="H16" s="2">
        <f>23.98/24/5</f>
        <v>0.19983333333333334</v>
      </c>
      <c r="I16" s="16">
        <f>2.72/4/5</f>
        <v>0.13600000000000001</v>
      </c>
      <c r="J16" s="2">
        <f>17.49/12/7</f>
        <v>0.20821428571428569</v>
      </c>
      <c r="K16" s="2">
        <f>9.98/12/5</f>
        <v>0.16633333333333333</v>
      </c>
      <c r="L16" s="15">
        <f>(H16+I16+J16+K16)/4</f>
        <v>0.17759523809523808</v>
      </c>
      <c r="N16" s="3">
        <f>(L16-F16)/F16</f>
        <v>5.0415434445852829E-2</v>
      </c>
      <c r="P16" s="3">
        <f>(H16-B16)/B16</f>
        <v>0.13541666666666674</v>
      </c>
      <c r="Q16" s="3">
        <f>(I16-C16)/C16</f>
        <v>-0.20467836257309929</v>
      </c>
      <c r="R16" s="3">
        <f>(J16-D16)/D16</f>
        <v>0.25017869907076479</v>
      </c>
      <c r="S16" s="3">
        <f>(K16-E16)/E16</f>
        <v>1.0121457489878439E-2</v>
      </c>
    </row>
    <row r="17" spans="1:19" x14ac:dyDescent="0.25">
      <c r="A17" t="s">
        <v>17</v>
      </c>
      <c r="B17" s="14">
        <f>14.39/8</f>
        <v>1.7987500000000001</v>
      </c>
      <c r="C17" s="14">
        <f>7.92/4</f>
        <v>1.98</v>
      </c>
      <c r="D17" s="14">
        <f>10.49/8</f>
        <v>1.31125</v>
      </c>
      <c r="E17" s="14">
        <f>8.97/8</f>
        <v>1.1212500000000001</v>
      </c>
      <c r="F17" s="15">
        <f>(B17+C17+D17+E17)/4</f>
        <v>1.5528124999999999</v>
      </c>
      <c r="H17" s="2">
        <f>13.37/8</f>
        <v>1.6712499999999999</v>
      </c>
      <c r="I17" s="2">
        <f>12.48/8</f>
        <v>1.56</v>
      </c>
      <c r="J17" s="2">
        <f>10.49/8</f>
        <v>1.31125</v>
      </c>
      <c r="K17" s="16">
        <f>8.97/8</f>
        <v>1.1212500000000001</v>
      </c>
      <c r="L17" s="15">
        <f>(H17+I17+J17+K17)/4</f>
        <v>1.4159375000000001</v>
      </c>
      <c r="N17" s="3">
        <f>(L17-F17)/F17</f>
        <v>-8.814650835178095E-2</v>
      </c>
      <c r="P17" s="3">
        <f>(H17-B17)/B17</f>
        <v>-7.0882557331480286E-2</v>
      </c>
      <c r="Q17" s="3">
        <f>(I17-C17)/C17</f>
        <v>-0.2121212121212121</v>
      </c>
      <c r="R17" s="3">
        <f>(J17-D17)/D17</f>
        <v>0</v>
      </c>
      <c r="S17" s="3">
        <f>(K17-E17)/E17</f>
        <v>0</v>
      </c>
    </row>
    <row r="18" spans="1:19" x14ac:dyDescent="0.25">
      <c r="A18" t="s">
        <v>19</v>
      </c>
      <c r="B18" s="14">
        <f>7.83/6</f>
        <v>1.3049999999999999</v>
      </c>
      <c r="C18" s="14">
        <f>4.88/6</f>
        <v>0.81333333333333335</v>
      </c>
      <c r="D18" s="14">
        <f>7.99/8</f>
        <v>0.99875000000000003</v>
      </c>
      <c r="E18" s="14">
        <f>7.18/8</f>
        <v>0.89749999999999996</v>
      </c>
      <c r="F18" s="15">
        <f>(B18+C18+D18+E18)/4</f>
        <v>1.0036458333333333</v>
      </c>
      <c r="H18" s="2">
        <v>1</v>
      </c>
      <c r="I18" s="2">
        <v>0.99</v>
      </c>
      <c r="J18" s="2">
        <f>8.49/8</f>
        <v>1.06125</v>
      </c>
      <c r="K18" s="16">
        <f>4.88/6</f>
        <v>0.81333333333333335</v>
      </c>
      <c r="L18" s="15">
        <f>(H18+I18+J18+K18)/4</f>
        <v>0.96614583333333337</v>
      </c>
      <c r="N18" s="3">
        <f>(L18-F18)/F18</f>
        <v>-3.7363777893098055E-2</v>
      </c>
      <c r="P18" s="3">
        <f>(H18-B18)/B18</f>
        <v>-0.23371647509578541</v>
      </c>
      <c r="Q18" s="3">
        <f>(I18-C18)/C18</f>
        <v>0.21721311475409832</v>
      </c>
      <c r="R18" s="3">
        <f>(J18-D18)/D18</f>
        <v>6.2578222778473094E-2</v>
      </c>
      <c r="S18" s="3">
        <f>(K18-E18)/E18</f>
        <v>-9.3779015784586764E-2</v>
      </c>
    </row>
    <row r="19" spans="1:19" x14ac:dyDescent="0.25">
      <c r="A19" t="s">
        <v>20</v>
      </c>
      <c r="B19" s="14">
        <f>15.7/6</f>
        <v>2.6166666666666667</v>
      </c>
      <c r="C19" s="14">
        <v>1.06</v>
      </c>
      <c r="D19" s="17" t="s">
        <v>18</v>
      </c>
      <c r="E19" s="14">
        <f>7.98/6</f>
        <v>1.33</v>
      </c>
      <c r="F19" s="15">
        <f>(B19+C19+E19)/3</f>
        <v>1.6688888888888889</v>
      </c>
      <c r="H19" s="2">
        <f>14.32/8</f>
        <v>1.79</v>
      </c>
      <c r="I19" s="2">
        <v>1.94</v>
      </c>
      <c r="J19" s="18" t="s">
        <v>18</v>
      </c>
      <c r="K19" s="16">
        <f>7.98/6</f>
        <v>1.33</v>
      </c>
      <c r="L19" s="15">
        <f>(H19+I19+K19)/3</f>
        <v>1.6866666666666668</v>
      </c>
      <c r="N19" s="3">
        <f>(L19-F19)/F19</f>
        <v>1.0652463382157192E-2</v>
      </c>
      <c r="P19" s="3">
        <f>(H19-B19)/B19</f>
        <v>-0.31592356687898088</v>
      </c>
      <c r="Q19" s="3">
        <f>(I19-C19)/C19</f>
        <v>0.83018867924528283</v>
      </c>
      <c r="R19" s="3"/>
      <c r="S19" s="3">
        <f>(K19-E19)/E19</f>
        <v>0</v>
      </c>
    </row>
    <row r="20" spans="1:19" x14ac:dyDescent="0.25">
      <c r="A20" t="s">
        <v>21</v>
      </c>
      <c r="B20" s="14">
        <f>15.17/6</f>
        <v>2.5283333333333333</v>
      </c>
      <c r="C20" s="14">
        <f>9.76/6</f>
        <v>1.6266666666666667</v>
      </c>
      <c r="D20" s="17" t="s">
        <v>18</v>
      </c>
      <c r="E20" s="14">
        <f>8.28/6</f>
        <v>1.38</v>
      </c>
      <c r="F20" s="15">
        <f>(B20+C20+E20)/3</f>
        <v>1.845</v>
      </c>
      <c r="H20" s="2">
        <f>19.95/6</f>
        <v>3.3249999999999997</v>
      </c>
      <c r="I20" s="2">
        <v>1.48</v>
      </c>
      <c r="J20" s="18" t="s">
        <v>18</v>
      </c>
      <c r="K20" s="16">
        <f>8.28/6</f>
        <v>1.38</v>
      </c>
      <c r="L20" s="15">
        <f>(H20+I20+K20)/3</f>
        <v>2.0616666666666665</v>
      </c>
      <c r="N20" s="3">
        <f>(L20-F20)/F20</f>
        <v>0.11743450767841006</v>
      </c>
      <c r="P20" s="3">
        <f>(H20-B20)/B20</f>
        <v>0.31509558338826621</v>
      </c>
      <c r="Q20" s="3">
        <f>(I20-C20)/C20</f>
        <v>-9.0163934426229539E-2</v>
      </c>
      <c r="R20" s="3"/>
      <c r="S20" s="3">
        <f>(K20-E20)/E20</f>
        <v>0</v>
      </c>
    </row>
    <row r="21" spans="1:19" x14ac:dyDescent="0.25">
      <c r="A21" t="s">
        <v>22</v>
      </c>
      <c r="B21" s="14">
        <f>6.85/12</f>
        <v>0.5708333333333333</v>
      </c>
      <c r="C21" s="14">
        <f>5.98/12</f>
        <v>0.49833333333333335</v>
      </c>
      <c r="D21" s="14">
        <f>10.79/12</f>
        <v>0.89916666666666656</v>
      </c>
      <c r="E21" s="14">
        <f>6.78/12</f>
        <v>0.56500000000000006</v>
      </c>
      <c r="F21" s="15">
        <f>(B21+C21+E21)/3</f>
        <v>0.54472222222222222</v>
      </c>
      <c r="H21" s="2">
        <f>20/24</f>
        <v>0.83333333333333337</v>
      </c>
      <c r="I21" s="16">
        <f>5.98/12</f>
        <v>0.49833333333333335</v>
      </c>
      <c r="J21" s="2">
        <f>9.49/12</f>
        <v>0.79083333333333339</v>
      </c>
      <c r="K21" s="2">
        <f>6.78/12</f>
        <v>0.56500000000000006</v>
      </c>
      <c r="L21" s="15">
        <f>(H21+I21+J21+K21)/4</f>
        <v>0.671875</v>
      </c>
      <c r="N21" s="3">
        <f>(L21-F21)/F21</f>
        <v>0.23342682304946458</v>
      </c>
      <c r="P21" s="3">
        <f>(H21-B21)/B21</f>
        <v>0.45985401459854031</v>
      </c>
      <c r="Q21" s="3">
        <f>(I21-C21)/C21</f>
        <v>0</v>
      </c>
      <c r="R21" s="3">
        <f>(J21-D21)/D21</f>
        <v>-0.12048192771084321</v>
      </c>
      <c r="S21" s="3">
        <f>(K21-E21)/E21</f>
        <v>0</v>
      </c>
    </row>
    <row r="22" spans="1:19" x14ac:dyDescent="0.25">
      <c r="A22" t="s">
        <v>23</v>
      </c>
      <c r="B22" s="14">
        <f>13.99/12</f>
        <v>1.1658333333333333</v>
      </c>
      <c r="C22" s="14">
        <f>10.68/12</f>
        <v>0.89</v>
      </c>
      <c r="D22" s="17" t="s">
        <v>18</v>
      </c>
      <c r="E22" s="14">
        <f>8.98/12</f>
        <v>0.74833333333333341</v>
      </c>
      <c r="F22" s="15">
        <f>(B22+C22+E22)/3</f>
        <v>0.93472222222222223</v>
      </c>
      <c r="H22" s="2">
        <f>16.18/12</f>
        <v>1.3483333333333334</v>
      </c>
      <c r="I22" s="16">
        <v>0.76</v>
      </c>
      <c r="J22" s="2">
        <f>10.99/12</f>
        <v>0.91583333333333339</v>
      </c>
      <c r="K22" s="2">
        <f>10.28/12</f>
        <v>0.85666666666666658</v>
      </c>
      <c r="L22" s="15">
        <f t="shared" ref="L22:L23" si="0">(H22+I22+J22+K22)/4</f>
        <v>0.97020833333333334</v>
      </c>
      <c r="N22" s="3">
        <f>(L22-F22)/F22</f>
        <v>3.7964338781575034E-2</v>
      </c>
      <c r="P22" s="3">
        <f>(H22-B22)/B22</f>
        <v>0.15654038598999295</v>
      </c>
      <c r="Q22" s="3">
        <f>(I22-C22)/C22</f>
        <v>-0.14606741573033707</v>
      </c>
      <c r="R22" s="3"/>
      <c r="S22" s="3">
        <f>(K22-E22)/E22</f>
        <v>0.14476614699331825</v>
      </c>
    </row>
    <row r="23" spans="1:19" x14ac:dyDescent="0.25">
      <c r="A23" t="s">
        <v>24</v>
      </c>
      <c r="B23" s="14">
        <f>10/2</f>
        <v>5</v>
      </c>
      <c r="C23" s="14">
        <f>10/2</f>
        <v>5</v>
      </c>
      <c r="D23" s="14">
        <f>10.49/2</f>
        <v>5.2450000000000001</v>
      </c>
      <c r="E23" s="14">
        <f>9.77/2</f>
        <v>4.8849999999999998</v>
      </c>
      <c r="F23" s="15">
        <f>(B23+C23+D23+E23)/4</f>
        <v>5.0325000000000006</v>
      </c>
      <c r="H23" s="2">
        <f>14.9/2</f>
        <v>7.45</v>
      </c>
      <c r="I23" s="2">
        <f>10.54/2</f>
        <v>5.27</v>
      </c>
      <c r="J23" s="2">
        <f>10.49/2</f>
        <v>5.2450000000000001</v>
      </c>
      <c r="K23" s="16">
        <f>9.77/2</f>
        <v>4.8849999999999998</v>
      </c>
      <c r="L23" s="15">
        <f t="shared" si="0"/>
        <v>5.7125000000000004</v>
      </c>
      <c r="N23" s="3">
        <f>(L23-F23)/F23</f>
        <v>0.13512170889220063</v>
      </c>
      <c r="P23" s="3">
        <f>(H23-B23)/B23</f>
        <v>0.49000000000000005</v>
      </c>
      <c r="Q23" s="3">
        <f>(I23-C23)/C23</f>
        <v>5.3999999999999916E-2</v>
      </c>
      <c r="R23" s="3">
        <f>(J23-D23)/D23</f>
        <v>0</v>
      </c>
      <c r="S23" s="3">
        <f>(K23-E23)/E23</f>
        <v>0</v>
      </c>
    </row>
    <row r="24" spans="1:19" x14ac:dyDescent="0.25">
      <c r="B24" s="14"/>
      <c r="C24" s="14"/>
      <c r="D24" s="14"/>
      <c r="E24" s="14"/>
      <c r="F24" s="15"/>
      <c r="H24" s="2"/>
      <c r="I24" s="2"/>
      <c r="J24" s="2"/>
      <c r="K24" s="2"/>
      <c r="L24" s="2"/>
      <c r="P24" s="3"/>
      <c r="Q24" s="3"/>
      <c r="R24" s="3"/>
      <c r="S24" s="3"/>
    </row>
    <row r="25" spans="1:19" ht="15.75" x14ac:dyDescent="0.25">
      <c r="A25" s="12" t="s">
        <v>25</v>
      </c>
      <c r="B25" s="14"/>
      <c r="C25" s="14"/>
      <c r="D25" s="14"/>
      <c r="E25" s="14"/>
      <c r="F25" s="15"/>
      <c r="H25" s="2"/>
      <c r="I25" s="2"/>
      <c r="J25" s="2"/>
      <c r="K25" s="2"/>
      <c r="L25" s="2"/>
      <c r="P25" s="3"/>
      <c r="Q25" s="3"/>
      <c r="R25" s="3"/>
      <c r="S25" s="3"/>
    </row>
    <row r="26" spans="1:19" x14ac:dyDescent="0.25">
      <c r="A26" t="s">
        <v>26</v>
      </c>
      <c r="B26" s="14">
        <v>26.58</v>
      </c>
      <c r="C26" s="14">
        <v>21.56</v>
      </c>
      <c r="D26" s="14">
        <v>21.99</v>
      </c>
      <c r="E26" s="14">
        <v>17.98</v>
      </c>
      <c r="F26" s="15">
        <f>(B26+C26+D26+E26)/4</f>
        <v>22.0275</v>
      </c>
      <c r="H26" s="2">
        <v>38.89</v>
      </c>
      <c r="I26" s="2">
        <f>5.98*5</f>
        <v>29.900000000000002</v>
      </c>
      <c r="J26" s="18" t="s">
        <v>18</v>
      </c>
      <c r="K26" s="16">
        <v>15.96</v>
      </c>
      <c r="L26" s="15">
        <f>(H26+I26+K26)/3</f>
        <v>28.25</v>
      </c>
      <c r="N26" s="3">
        <f>(L26-F26)/F26</f>
        <v>0.28248779934173196</v>
      </c>
      <c r="P26" s="3">
        <f>(H26-B26)/B26</f>
        <v>0.46313017306245308</v>
      </c>
      <c r="Q26" s="3">
        <f>(I26-C26)/C26</f>
        <v>0.38682745825602988</v>
      </c>
      <c r="R26" s="3"/>
      <c r="S26" s="3">
        <f>(K26-E26)/E26</f>
        <v>-0.11234705228031143</v>
      </c>
    </row>
    <row r="27" spans="1:19" x14ac:dyDescent="0.25">
      <c r="A27" t="s">
        <v>27</v>
      </c>
      <c r="B27" s="14">
        <v>24.49</v>
      </c>
      <c r="C27" s="14">
        <f>5.98*1.5</f>
        <v>8.9700000000000006</v>
      </c>
      <c r="D27" s="17" t="s">
        <v>18</v>
      </c>
      <c r="E27" s="14">
        <v>7.86</v>
      </c>
      <c r="F27" s="15">
        <f>(B27+C27+E27)/3</f>
        <v>13.773333333333333</v>
      </c>
      <c r="H27" s="2">
        <f>7.92*3</f>
        <v>23.759999999999998</v>
      </c>
      <c r="I27" s="2">
        <v>12</v>
      </c>
      <c r="J27" s="18" t="s">
        <v>18</v>
      </c>
      <c r="K27" s="16">
        <v>8.7799999999999994</v>
      </c>
      <c r="L27" s="15">
        <f>(H27+I27+K27)/3</f>
        <v>14.846666666666666</v>
      </c>
      <c r="N27" s="3">
        <f>(L27-F27)/F27</f>
        <v>7.7928363988383278E-2</v>
      </c>
      <c r="P27" s="3">
        <f>(H27-B27)/B27</f>
        <v>-2.980808493262558E-2</v>
      </c>
      <c r="Q27" s="3">
        <f>(I27-C27)/C27</f>
        <v>0.33779264214046811</v>
      </c>
      <c r="R27" s="3"/>
      <c r="S27" s="3">
        <f>(K27-E27)/E27</f>
        <v>0.11704834605597951</v>
      </c>
    </row>
    <row r="28" spans="1:19" x14ac:dyDescent="0.25">
      <c r="A28" t="s">
        <v>28</v>
      </c>
      <c r="B28" s="14">
        <f>14.95/5</f>
        <v>2.9899999999999998</v>
      </c>
      <c r="C28" s="14">
        <f>4.88/4</f>
        <v>1.22</v>
      </c>
      <c r="D28" s="17" t="s">
        <v>18</v>
      </c>
      <c r="E28" s="17" t="s">
        <v>18</v>
      </c>
      <c r="F28" s="15">
        <f>(B28+C28)/2</f>
        <v>2.105</v>
      </c>
      <c r="H28" s="19">
        <v>1.54</v>
      </c>
      <c r="I28" s="2">
        <v>3.76</v>
      </c>
      <c r="J28" s="18" t="s">
        <v>18</v>
      </c>
      <c r="K28" s="18" t="s">
        <v>18</v>
      </c>
      <c r="L28" s="15">
        <f>(H28+I28)/2</f>
        <v>2.65</v>
      </c>
      <c r="N28" s="3">
        <f>(L28-F28)/F28</f>
        <v>0.25890736342042753</v>
      </c>
      <c r="P28" s="3">
        <f>(H28-B28)/B28</f>
        <v>-0.48494983277591969</v>
      </c>
      <c r="Q28" s="3">
        <f>(I28-C28)/C28</f>
        <v>2.081967213114754</v>
      </c>
      <c r="R28" s="3"/>
      <c r="S28" s="3"/>
    </row>
    <row r="29" spans="1:19" x14ac:dyDescent="0.25">
      <c r="A29" t="s">
        <v>29</v>
      </c>
      <c r="B29" s="14">
        <f>16.1/48</f>
        <v>0.3354166666666667</v>
      </c>
      <c r="C29" s="14">
        <f>5.54/12</f>
        <v>0.46166666666666667</v>
      </c>
      <c r="D29" s="17" t="s">
        <v>18</v>
      </c>
      <c r="E29" s="14">
        <f>8.28/48</f>
        <v>0.17249999999999999</v>
      </c>
      <c r="F29" s="15">
        <f>(B29+C29+E29)/3</f>
        <v>0.32319444444444445</v>
      </c>
      <c r="H29" s="2">
        <f>27.85/48</f>
        <v>0.58020833333333333</v>
      </c>
      <c r="I29" s="2">
        <f>5.76/24</f>
        <v>0.24</v>
      </c>
      <c r="J29" s="2">
        <f>10.99/48</f>
        <v>0.22895833333333335</v>
      </c>
      <c r="K29" s="16">
        <f>8.88/48</f>
        <v>0.18500000000000003</v>
      </c>
      <c r="L29" s="15">
        <f t="shared" ref="L29:L32" si="1">(H29+I29+J29+K29)/4</f>
        <v>0.30854166666666666</v>
      </c>
      <c r="N29" s="3">
        <f>(L29-F29)/F29</f>
        <v>-4.5337344220025826E-2</v>
      </c>
      <c r="P29" s="3">
        <f>(H29-B29)/B29</f>
        <v>0.72981366459627317</v>
      </c>
      <c r="Q29" s="3">
        <f>(I29-C29)/C29</f>
        <v>-0.48014440433212996</v>
      </c>
      <c r="R29" s="3"/>
      <c r="S29" s="3">
        <f>(K29-E29)/E29</f>
        <v>7.2463768115942254E-2</v>
      </c>
    </row>
    <row r="30" spans="1:19" x14ac:dyDescent="0.25">
      <c r="A30" t="s">
        <v>30</v>
      </c>
      <c r="B30" s="14">
        <f>3.99/3</f>
        <v>1.33</v>
      </c>
      <c r="C30" s="14">
        <f>7.93/12</f>
        <v>0.66083333333333327</v>
      </c>
      <c r="D30" s="17" t="s">
        <v>18</v>
      </c>
      <c r="E30" s="14">
        <f>6.54/6</f>
        <v>1.0900000000000001</v>
      </c>
      <c r="F30" s="15">
        <f>(B30+C30+E30)/3</f>
        <v>1.0269444444444444</v>
      </c>
      <c r="H30" s="2">
        <f>3.99/3</f>
        <v>1.33</v>
      </c>
      <c r="I30" s="2">
        <v>1</v>
      </c>
      <c r="J30" s="2">
        <f>11.99/8</f>
        <v>1.49875</v>
      </c>
      <c r="K30" s="16">
        <f>4.68/6</f>
        <v>0.77999999999999992</v>
      </c>
      <c r="L30" s="15">
        <f t="shared" si="1"/>
        <v>1.1521875000000001</v>
      </c>
      <c r="N30" s="3">
        <f>(L30-F30)/F30</f>
        <v>0.12195699215580215</v>
      </c>
      <c r="P30" s="3">
        <f>(H30-B30)/B30</f>
        <v>0</v>
      </c>
      <c r="Q30" s="3">
        <f>(I30-C30)/C30</f>
        <v>0.51324085750315274</v>
      </c>
      <c r="R30" s="3"/>
      <c r="S30" s="3">
        <f>(K30-E30)/E30</f>
        <v>-0.28440366972477077</v>
      </c>
    </row>
    <row r="31" spans="1:19" x14ac:dyDescent="0.25">
      <c r="A31" t="s">
        <v>31</v>
      </c>
      <c r="B31" s="14">
        <f>11.39/8</f>
        <v>1.4237500000000001</v>
      </c>
      <c r="C31" s="14">
        <f>11.39/8</f>
        <v>1.4237500000000001</v>
      </c>
      <c r="D31" s="14">
        <f>9.49/10</f>
        <v>0.94900000000000007</v>
      </c>
      <c r="E31" s="14">
        <f>8.12/10</f>
        <v>0.81199999999999994</v>
      </c>
      <c r="F31" s="15">
        <f>(B31+C31+D31+E31)/4</f>
        <v>1.1521250000000001</v>
      </c>
      <c r="H31" s="2">
        <f>11.39/8</f>
        <v>1.4237500000000001</v>
      </c>
      <c r="I31" s="2">
        <f>2.58/(42/16)</f>
        <v>0.98285714285714287</v>
      </c>
      <c r="J31" s="2">
        <f>9.49/10</f>
        <v>0.94900000000000007</v>
      </c>
      <c r="K31" s="16">
        <f>9.38/10</f>
        <v>0.93800000000000006</v>
      </c>
      <c r="L31" s="15">
        <f t="shared" si="1"/>
        <v>1.0734017857142857</v>
      </c>
      <c r="N31" s="3">
        <f>(L31-F31)/F31</f>
        <v>-6.8328709372433002E-2</v>
      </c>
      <c r="P31" s="3">
        <f>(H31-B31)/B31</f>
        <v>0</v>
      </c>
      <c r="Q31" s="3">
        <f>(I31-C31)/C31</f>
        <v>-0.30967013671140098</v>
      </c>
      <c r="R31" s="3">
        <f>(J31-D31)/D31</f>
        <v>0</v>
      </c>
      <c r="S31" s="3">
        <f>(K31-E31)/E31</f>
        <v>0.15517241379310359</v>
      </c>
    </row>
    <row r="32" spans="1:19" x14ac:dyDescent="0.25">
      <c r="A32" t="s">
        <v>32</v>
      </c>
      <c r="B32" s="14">
        <v>5.86</v>
      </c>
      <c r="C32" s="14">
        <v>4.9800000000000004</v>
      </c>
      <c r="D32" s="14">
        <f>6.99/2</f>
        <v>3.4950000000000001</v>
      </c>
      <c r="E32" s="14">
        <v>5.48</v>
      </c>
      <c r="F32" s="15">
        <f t="shared" ref="F32:F33" si="2">(B32+C32+D32+E32)/4</f>
        <v>4.9537500000000003</v>
      </c>
      <c r="H32" s="2">
        <f>38.26/6</f>
        <v>6.376666666666666</v>
      </c>
      <c r="I32" s="2">
        <v>5.48</v>
      </c>
      <c r="J32" s="2">
        <f>6.99/2</f>
        <v>3.4950000000000001</v>
      </c>
      <c r="K32" s="16">
        <f>6.14/2</f>
        <v>3.07</v>
      </c>
      <c r="L32" s="15">
        <f t="shared" si="1"/>
        <v>4.6054166666666667</v>
      </c>
      <c r="N32" s="3">
        <f>(L32-F32)/F32</f>
        <v>-7.0317099840188454E-2</v>
      </c>
      <c r="P32" s="3">
        <f>(H32-B32)/B32</f>
        <v>8.8168373151308141E-2</v>
      </c>
      <c r="Q32" s="3">
        <f>(I32-C32)/C32</f>
        <v>0.1004016064257028</v>
      </c>
      <c r="R32" s="3">
        <f>(J32-D32)/D32</f>
        <v>0</v>
      </c>
      <c r="S32" s="3">
        <f>(K32-E32)/E32</f>
        <v>-0.43978102189781026</v>
      </c>
    </row>
    <row r="33" spans="1:19" x14ac:dyDescent="0.25">
      <c r="A33" t="s">
        <v>33</v>
      </c>
      <c r="B33" s="14">
        <f>5.19/5</f>
        <v>1.038</v>
      </c>
      <c r="C33" s="14">
        <f>4.5/5</f>
        <v>0.9</v>
      </c>
      <c r="D33" s="14">
        <f>15.99/18</f>
        <v>0.88833333333333331</v>
      </c>
      <c r="E33" s="14">
        <v>0.78</v>
      </c>
      <c r="F33" s="15">
        <f t="shared" si="2"/>
        <v>0.9015833333333334</v>
      </c>
      <c r="H33" s="16">
        <f>14.97/18</f>
        <v>0.83166666666666667</v>
      </c>
      <c r="I33" s="2">
        <f>4.5/5</f>
        <v>0.9</v>
      </c>
      <c r="J33" s="18" t="s">
        <v>18</v>
      </c>
      <c r="K33" s="2">
        <f>15.99/18</f>
        <v>0.88833333333333331</v>
      </c>
      <c r="L33" s="15">
        <f t="shared" ref="L33:L34" si="3">(H33+I33+K33)/3</f>
        <v>0.87333333333333341</v>
      </c>
      <c r="N33" s="3">
        <f>(L33-F33)/F33</f>
        <v>-3.1333764673260003E-2</v>
      </c>
      <c r="P33" s="3">
        <f>(H33-B33)/B33</f>
        <v>-0.1987797045600514</v>
      </c>
      <c r="Q33" s="3">
        <f>(I33-C33)/C33</f>
        <v>0</v>
      </c>
      <c r="R33" s="3"/>
      <c r="S33" s="3">
        <f>(K33-E33)/E33</f>
        <v>0.13888888888888881</v>
      </c>
    </row>
    <row r="34" spans="1:19" x14ac:dyDescent="0.25">
      <c r="A34" t="s">
        <v>34</v>
      </c>
      <c r="B34" s="17" t="s">
        <v>18</v>
      </c>
      <c r="C34" s="17" t="s">
        <v>18</v>
      </c>
      <c r="D34" s="14">
        <v>0.13</v>
      </c>
      <c r="E34" s="14">
        <v>0.13</v>
      </c>
      <c r="F34" s="13">
        <v>0.13</v>
      </c>
      <c r="H34" s="2">
        <v>0.21</v>
      </c>
      <c r="I34" s="16">
        <v>0.11</v>
      </c>
      <c r="J34" s="18" t="s">
        <v>18</v>
      </c>
      <c r="K34" s="2">
        <f>2.27/16</f>
        <v>0.141875</v>
      </c>
      <c r="L34" s="15">
        <f t="shared" si="3"/>
        <v>0.15395833333333334</v>
      </c>
      <c r="N34" s="3">
        <f>(L34-F34)/F34</f>
        <v>0.18429487179487178</v>
      </c>
      <c r="P34" s="3"/>
      <c r="Q34" s="3"/>
      <c r="R34" s="3"/>
      <c r="S34" s="3">
        <f>(K34-E34)/E34</f>
        <v>9.1346153846153813E-2</v>
      </c>
    </row>
    <row r="35" spans="1:19" x14ac:dyDescent="0.25">
      <c r="B35" s="14"/>
      <c r="C35" s="14"/>
      <c r="D35" s="14"/>
      <c r="E35" s="14"/>
      <c r="F35" s="15"/>
      <c r="H35" s="2"/>
      <c r="I35" s="2"/>
      <c r="J35" s="2"/>
      <c r="K35" s="2"/>
      <c r="L35" s="2"/>
      <c r="P35" s="3"/>
      <c r="Q35" s="3"/>
      <c r="R35" s="3"/>
      <c r="S35" s="3"/>
    </row>
    <row r="36" spans="1:19" ht="15.75" x14ac:dyDescent="0.25">
      <c r="A36" s="12" t="s">
        <v>35</v>
      </c>
      <c r="B36" s="14"/>
      <c r="C36" s="14"/>
      <c r="D36" s="14"/>
      <c r="E36" s="14"/>
      <c r="F36" s="15"/>
      <c r="H36" s="2"/>
      <c r="I36" s="2"/>
      <c r="J36" s="2"/>
      <c r="K36" s="2"/>
      <c r="L36" s="2"/>
      <c r="P36" s="3"/>
      <c r="Q36" s="3"/>
      <c r="R36" s="3"/>
      <c r="S36" s="3"/>
    </row>
    <row r="37" spans="1:19" x14ac:dyDescent="0.25">
      <c r="A37" t="s">
        <v>36</v>
      </c>
      <c r="B37" s="14">
        <v>35.880000000000003</v>
      </c>
      <c r="C37" s="14">
        <f>(5.98*2.5)</f>
        <v>14.950000000000001</v>
      </c>
      <c r="D37" s="14">
        <v>7.49</v>
      </c>
      <c r="E37" s="14">
        <v>6.48</v>
      </c>
      <c r="F37" s="15">
        <f>(B37+C37+D37+E37)/4</f>
        <v>16.200000000000003</v>
      </c>
      <c r="H37" s="2">
        <v>32.11</v>
      </c>
      <c r="I37" s="2">
        <f>3.86*5</f>
        <v>19.3</v>
      </c>
      <c r="J37" s="2">
        <v>9.49</v>
      </c>
      <c r="K37" s="16">
        <v>7.73</v>
      </c>
      <c r="L37" s="15">
        <f t="shared" ref="L37:L43" si="4">(H37+I37+J37+K37)/4</f>
        <v>17.157499999999999</v>
      </c>
      <c r="N37" s="3">
        <f>(L37-F37)/F37</f>
        <v>5.9104938271604679E-2</v>
      </c>
      <c r="P37" s="3">
        <f>(H37-B37)/B37</f>
        <v>-0.10507246376811602</v>
      </c>
      <c r="Q37" s="3">
        <f>(I37-C37)/C37</f>
        <v>0.29096989966555181</v>
      </c>
      <c r="R37" s="3">
        <f>(J37-D37)/D37</f>
        <v>0.26702269692923897</v>
      </c>
      <c r="S37" s="3">
        <f>(K37-E37)/E37</f>
        <v>0.19290123456790123</v>
      </c>
    </row>
    <row r="38" spans="1:19" x14ac:dyDescent="0.25">
      <c r="A38" t="s">
        <v>37</v>
      </c>
      <c r="B38" s="14">
        <v>11.99</v>
      </c>
      <c r="C38" s="14">
        <v>10.26</v>
      </c>
      <c r="D38" s="14">
        <v>4.99</v>
      </c>
      <c r="E38" s="14">
        <v>4.9800000000000004</v>
      </c>
      <c r="F38" s="15">
        <f>(B38+C38+D38+E38)/4</f>
        <v>8.0549999999999997</v>
      </c>
      <c r="H38" s="2">
        <v>14.85</v>
      </c>
      <c r="I38" s="2">
        <v>17.309999999999999</v>
      </c>
      <c r="J38" s="2">
        <v>4.99</v>
      </c>
      <c r="K38" s="16">
        <v>4.9800000000000004</v>
      </c>
      <c r="L38" s="15">
        <f t="shared" si="4"/>
        <v>10.532499999999999</v>
      </c>
      <c r="N38" s="3">
        <f>(L38-F38)/F38</f>
        <v>0.3075729360645561</v>
      </c>
      <c r="P38" s="3">
        <f>(H38-B38)/B38</f>
        <v>0.23853211009174308</v>
      </c>
      <c r="Q38" s="3">
        <f>(I38-C38)/C38</f>
        <v>0.68713450292397649</v>
      </c>
      <c r="R38" s="3">
        <f>(J38-D38)/D38</f>
        <v>0</v>
      </c>
      <c r="S38" s="3">
        <f>(K38-E38)/E38</f>
        <v>0</v>
      </c>
    </row>
    <row r="39" spans="1:19" x14ac:dyDescent="0.25">
      <c r="A39" t="s">
        <v>38</v>
      </c>
      <c r="B39" s="14">
        <f>12.99/(16*2.2)</f>
        <v>0.36903409090909089</v>
      </c>
      <c r="C39" s="14">
        <v>0.12</v>
      </c>
      <c r="D39" s="17" t="s">
        <v>18</v>
      </c>
      <c r="E39" s="14">
        <v>0.11</v>
      </c>
      <c r="F39" s="15">
        <f>(B39+C39+E39)/3</f>
        <v>0.1996780303030303</v>
      </c>
      <c r="H39" s="2">
        <v>0.22</v>
      </c>
      <c r="I39" s="2">
        <f>3.12/22</f>
        <v>0.14181818181818182</v>
      </c>
      <c r="J39" s="2">
        <f>7.99/64</f>
        <v>0.12484375</v>
      </c>
      <c r="K39" s="16">
        <f>4.98/44</f>
        <v>0.11318181818181819</v>
      </c>
      <c r="L39" s="15">
        <f t="shared" si="4"/>
        <v>0.1499609375</v>
      </c>
      <c r="N39" s="3">
        <f>(L39-F39)/F39</f>
        <v>-0.24898629422365548</v>
      </c>
      <c r="P39" s="3">
        <f>(H39-B39)/B39</f>
        <v>-0.40384911470361812</v>
      </c>
      <c r="Q39" s="3">
        <f>(I39-C39)/C39</f>
        <v>0.18181818181818185</v>
      </c>
      <c r="R39" s="3"/>
      <c r="S39" s="3">
        <f>(K39-E39)/E39</f>
        <v>2.8925619834710804E-2</v>
      </c>
    </row>
    <row r="40" spans="1:19" x14ac:dyDescent="0.25">
      <c r="A40" t="s">
        <v>39</v>
      </c>
      <c r="B40" s="14">
        <v>3.94</v>
      </c>
      <c r="C40" s="14">
        <f>9.69/4</f>
        <v>2.4224999999999999</v>
      </c>
      <c r="D40" s="17" t="s">
        <v>18</v>
      </c>
      <c r="E40" s="14">
        <v>2.19</v>
      </c>
      <c r="F40" s="15">
        <f>(B40+C40+E40)/3</f>
        <v>2.8508333333333336</v>
      </c>
      <c r="H40" s="16">
        <f>28.1/16</f>
        <v>1.7562500000000001</v>
      </c>
      <c r="I40" s="2">
        <v>5.84</v>
      </c>
      <c r="J40" s="2">
        <f>29.99/16</f>
        <v>1.8743749999999999</v>
      </c>
      <c r="K40" s="2">
        <f>17.48/8</f>
        <v>2.1850000000000001</v>
      </c>
      <c r="L40" s="15">
        <f t="shared" si="4"/>
        <v>2.9139062500000001</v>
      </c>
      <c r="N40" s="3">
        <f>(L40-F40)/F40</f>
        <v>2.2124378836597458E-2</v>
      </c>
      <c r="P40" s="3">
        <f>(H40-B40)/B40</f>
        <v>-0.55425126903553301</v>
      </c>
      <c r="Q40" s="3">
        <f>(I40-C40)/C40</f>
        <v>1.410732714138287</v>
      </c>
      <c r="R40" s="3"/>
      <c r="S40" s="3">
        <f>(K40-E40)/E40</f>
        <v>-2.2831050228310015E-3</v>
      </c>
    </row>
    <row r="41" spans="1:19" x14ac:dyDescent="0.25">
      <c r="A41" t="s">
        <v>40</v>
      </c>
      <c r="B41" s="14">
        <v>0.24</v>
      </c>
      <c r="C41" s="14">
        <v>0.19</v>
      </c>
      <c r="D41" s="14">
        <f>11.99/(4.5*16)</f>
        <v>0.16652777777777777</v>
      </c>
      <c r="E41" s="14">
        <v>0.14000000000000001</v>
      </c>
      <c r="F41" s="15">
        <f>(B41+C41+D41+E41)/4</f>
        <v>0.18413194444444445</v>
      </c>
      <c r="H41" s="2">
        <f>18.4/4.5/16</f>
        <v>0.25555555555555554</v>
      </c>
      <c r="I41" s="2">
        <f>5.53/24</f>
        <v>0.23041666666666669</v>
      </c>
      <c r="J41" s="2">
        <f>12.49/(4.5*16)</f>
        <v>0.17347222222222222</v>
      </c>
      <c r="K41" s="16">
        <f>8.98/72</f>
        <v>0.12472222222222223</v>
      </c>
      <c r="L41" s="15">
        <f t="shared" si="4"/>
        <v>0.19604166666666667</v>
      </c>
      <c r="N41" s="3">
        <f>(L41-F41)/F41</f>
        <v>6.4680369602112028E-2</v>
      </c>
      <c r="P41" s="3">
        <f>(H41-B41)/B41</f>
        <v>6.481481481481477E-2</v>
      </c>
      <c r="Q41" s="3">
        <f>(I41-C41)/C41</f>
        <v>0.21271929824561411</v>
      </c>
      <c r="R41" s="3">
        <f>(J41-D41)/D41</f>
        <v>4.1701417848206856E-2</v>
      </c>
      <c r="S41" s="3">
        <f>(K41-E41)/E41</f>
        <v>-0.10912698412698413</v>
      </c>
    </row>
    <row r="42" spans="1:19" x14ac:dyDescent="0.25">
      <c r="A42" t="s">
        <v>41</v>
      </c>
      <c r="B42" s="14">
        <v>0.3</v>
      </c>
      <c r="C42" s="14">
        <v>0.15</v>
      </c>
      <c r="D42" s="14">
        <f>10.49/(16*4.5)</f>
        <v>0.14569444444444446</v>
      </c>
      <c r="E42" s="14">
        <v>0.1</v>
      </c>
      <c r="F42" s="15">
        <f>(B42+C42+D42+E42)/4</f>
        <v>0.1739236111111111</v>
      </c>
      <c r="H42" s="2">
        <f>20.46/64</f>
        <v>0.31968750000000001</v>
      </c>
      <c r="I42" s="16">
        <f>2.94/20</f>
        <v>0.14699999999999999</v>
      </c>
      <c r="J42" s="16">
        <f>10.49/(2.25*2*16)</f>
        <v>0.14569444444444446</v>
      </c>
      <c r="K42" s="16">
        <v>0.15</v>
      </c>
      <c r="L42" s="15">
        <f t="shared" si="4"/>
        <v>0.19059548611111113</v>
      </c>
      <c r="N42" s="3">
        <f>(L42-F42)/F42</f>
        <v>9.58574565781595E-2</v>
      </c>
      <c r="P42" s="3">
        <f>(H42-B42)/B42</f>
        <v>6.5625000000000086E-2</v>
      </c>
      <c r="Q42" s="3">
        <f>(I42-C42)/C42</f>
        <v>-2.0000000000000018E-2</v>
      </c>
      <c r="R42" s="3">
        <f>(J42-D42)/D42</f>
        <v>0</v>
      </c>
      <c r="S42" s="3">
        <f>(K42-E42)/E42</f>
        <v>0.49999999999999989</v>
      </c>
    </row>
    <row r="43" spans="1:19" x14ac:dyDescent="0.25">
      <c r="A43" t="s">
        <v>42</v>
      </c>
      <c r="B43" s="14">
        <v>0.21</v>
      </c>
      <c r="C43" s="14">
        <v>0.18</v>
      </c>
      <c r="D43" s="14">
        <f>15.99/84</f>
        <v>0.19035714285714286</v>
      </c>
      <c r="E43" s="14">
        <v>0.14000000000000001</v>
      </c>
      <c r="F43" s="15">
        <f>(B43+C43+D43+E43)/4</f>
        <v>0.18008928571428573</v>
      </c>
      <c r="H43" s="2">
        <f>11.96/56</f>
        <v>0.21357142857142858</v>
      </c>
      <c r="I43" s="2">
        <v>0.18</v>
      </c>
      <c r="J43" s="2">
        <f>18.99/84</f>
        <v>0.22607142857142856</v>
      </c>
      <c r="K43" s="16">
        <f>8.5/56</f>
        <v>0.15178571428571427</v>
      </c>
      <c r="L43" s="15">
        <f t="shared" si="4"/>
        <v>0.19285714285714287</v>
      </c>
      <c r="N43" s="3">
        <f>(L43-F43)/F43</f>
        <v>7.0897372335151171E-2</v>
      </c>
      <c r="P43" s="3">
        <f>(H43-B43)/B43</f>
        <v>1.7006802721088506E-2</v>
      </c>
      <c r="Q43" s="3">
        <f>(I43-C43)/C43</f>
        <v>0</v>
      </c>
      <c r="R43" s="3">
        <f>(J43-D43)/D43</f>
        <v>0.1876172607879924</v>
      </c>
      <c r="S43" s="3">
        <f>(K43-E43)/E43</f>
        <v>8.4183673469387571E-2</v>
      </c>
    </row>
    <row r="44" spans="1:19" x14ac:dyDescent="0.25">
      <c r="A44" t="s">
        <v>43</v>
      </c>
      <c r="B44" s="14">
        <f>23.88/(18/4)</f>
        <v>5.3066666666666666</v>
      </c>
      <c r="C44" s="14">
        <f>15.98/5</f>
        <v>3.1960000000000002</v>
      </c>
      <c r="D44" s="17" t="s">
        <v>18</v>
      </c>
      <c r="E44" s="14">
        <f>14.98/(22/4)</f>
        <v>2.7236363636363636</v>
      </c>
      <c r="F44" s="15">
        <f>(B44+C44+E44)/3</f>
        <v>3.7421010101010097</v>
      </c>
      <c r="H44" s="2">
        <f>14.89/2.6</f>
        <v>5.726923076923077</v>
      </c>
      <c r="I44" s="2">
        <f>18.37/5</f>
        <v>3.6740000000000004</v>
      </c>
      <c r="J44" s="18" t="s">
        <v>18</v>
      </c>
      <c r="K44" s="16">
        <f>14.98/(22/4)</f>
        <v>2.7236363636363636</v>
      </c>
      <c r="L44" s="15">
        <f t="shared" ref="L44" si="5">(H44+I44+K44)/3</f>
        <v>4.0415198135198134</v>
      </c>
      <c r="N44" s="3">
        <f>(L44-F44)/F44</f>
        <v>8.0013554580858709E-2</v>
      </c>
      <c r="P44" s="3">
        <f>(H44-B44)/B44</f>
        <v>7.9194047158871295E-2</v>
      </c>
      <c r="Q44" s="3">
        <f>(I44-C44)/C44</f>
        <v>0.14956195244055073</v>
      </c>
      <c r="R44" s="3"/>
      <c r="S44" s="3">
        <f>(K44-E44)/E44</f>
        <v>0</v>
      </c>
    </row>
    <row r="45" spans="1:19" x14ac:dyDescent="0.25">
      <c r="F45" s="15"/>
      <c r="H45" s="2"/>
      <c r="I45" s="2"/>
      <c r="J45" s="2"/>
      <c r="K45" s="2"/>
      <c r="L45" s="2"/>
      <c r="P45" s="3"/>
      <c r="Q45" s="3"/>
      <c r="R45" s="3"/>
      <c r="S45" s="3"/>
    </row>
    <row r="46" spans="1:19" ht="15.75" x14ac:dyDescent="0.25">
      <c r="A46" s="12" t="s">
        <v>44</v>
      </c>
      <c r="F46" s="15"/>
      <c r="H46" s="2"/>
      <c r="I46" s="2"/>
      <c r="J46" s="2"/>
      <c r="K46" s="2"/>
      <c r="L46" s="2"/>
      <c r="P46" s="3"/>
      <c r="Q46" s="3"/>
      <c r="R46" s="3"/>
      <c r="S46" s="3"/>
    </row>
    <row r="47" spans="1:19" x14ac:dyDescent="0.25">
      <c r="A47" t="s">
        <v>45</v>
      </c>
      <c r="B47" s="2">
        <f>31.45/36</f>
        <v>0.87361111111111112</v>
      </c>
      <c r="C47" s="2">
        <f>13.97/20</f>
        <v>0.69850000000000001</v>
      </c>
      <c r="D47" s="20" t="s">
        <v>18</v>
      </c>
      <c r="E47" s="2">
        <v>0.64</v>
      </c>
      <c r="F47" s="15">
        <f>(B47+C47+E47)/3</f>
        <v>0.73737037037037034</v>
      </c>
      <c r="H47" s="2">
        <v>1.08</v>
      </c>
      <c r="I47" s="2">
        <f>10.18/12</f>
        <v>0.84833333333333327</v>
      </c>
      <c r="J47" s="18" t="s">
        <v>18</v>
      </c>
      <c r="K47" s="16">
        <f>24.48/36</f>
        <v>0.68</v>
      </c>
      <c r="L47" s="15">
        <f t="shared" ref="L47" si="6">(H47+I47+K47)/3</f>
        <v>0.86944444444444446</v>
      </c>
      <c r="N47" s="3">
        <f>(L47-F47)/F47</f>
        <v>0.17911497312773125</v>
      </c>
      <c r="P47" s="3">
        <f>(H47-B47)/B47</f>
        <v>0.23624801271860102</v>
      </c>
      <c r="Q47" s="3">
        <f>(I47-C47)/C47</f>
        <v>0.21450727749940338</v>
      </c>
      <c r="R47" s="3"/>
      <c r="S47" s="3">
        <f>(K47-E47)/E47</f>
        <v>6.2500000000000056E-2</v>
      </c>
    </row>
    <row r="48" spans="1:19" x14ac:dyDescent="0.25">
      <c r="A48" t="s">
        <v>46</v>
      </c>
      <c r="B48" s="2">
        <v>0.23</v>
      </c>
      <c r="C48" s="2">
        <v>0.27</v>
      </c>
      <c r="D48" s="2">
        <f>18.99/90</f>
        <v>0.21099999999999999</v>
      </c>
      <c r="E48" s="2">
        <f>15.98/90</f>
        <v>0.17755555555555555</v>
      </c>
      <c r="F48" s="15">
        <f>(B48+C48+D48+E48)/4</f>
        <v>0.22213888888888889</v>
      </c>
      <c r="H48" s="2">
        <f>24.99/86</f>
        <v>0.2905813953488372</v>
      </c>
      <c r="I48" s="16">
        <f>7.54/40</f>
        <v>0.1885</v>
      </c>
      <c r="J48" s="2">
        <f>24.99/90</f>
        <v>0.27766666666666667</v>
      </c>
      <c r="K48" s="16">
        <f>16.98/90</f>
        <v>0.18866666666666668</v>
      </c>
      <c r="L48" s="15">
        <f t="shared" ref="L48" si="7">(H48+I48+J48+K48)/4</f>
        <v>0.23635368217054262</v>
      </c>
      <c r="N48" s="3">
        <f>(L48-F48)/F48</f>
        <v>6.3990566229777959E-2</v>
      </c>
      <c r="P48" s="3">
        <f>(H48-B48)/B48</f>
        <v>0.26339737108190081</v>
      </c>
      <c r="Q48" s="3">
        <f>(I48-C48)/C48</f>
        <v>-0.30185185185185187</v>
      </c>
      <c r="R48" s="3">
        <f>(J48-D48)/D48</f>
        <v>0.31595576619273308</v>
      </c>
      <c r="S48" s="3">
        <f>(K48-E48)/E48</f>
        <v>6.2578222778473178E-2</v>
      </c>
    </row>
    <row r="49" spans="1:19" x14ac:dyDescent="0.25">
      <c r="F49" s="15"/>
      <c r="H49" s="2"/>
      <c r="I49" s="2"/>
      <c r="J49" s="2"/>
      <c r="K49" s="2"/>
      <c r="L49" s="2"/>
    </row>
    <row r="50" spans="1:19" x14ac:dyDescent="0.25">
      <c r="A50" t="s">
        <v>47</v>
      </c>
      <c r="B50" s="15">
        <f>SUM(B14:B49)</f>
        <v>143.69706186868686</v>
      </c>
      <c r="C50" s="15">
        <f>SUM(C14:C49)</f>
        <v>90.812583333333336</v>
      </c>
      <c r="D50" s="15">
        <f>SUM(D14:D49)</f>
        <v>53.805376984126994</v>
      </c>
      <c r="E50" s="15">
        <f>SUM(E14:E49)</f>
        <v>67.145775252525254</v>
      </c>
      <c r="F50" s="15">
        <f>SUM(F14:F49)</f>
        <v>96.669122625060112</v>
      </c>
      <c r="H50" s="15">
        <f>SUM(H14:H49)</f>
        <v>155.94594395639888</v>
      </c>
      <c r="I50" s="15">
        <f>SUM(I14:I49)</f>
        <v>120.0172586580087</v>
      </c>
      <c r="J50" s="15">
        <f>SUM(J14:J49)</f>
        <v>37.544962797619057</v>
      </c>
      <c r="K50" s="15">
        <f>SUM(K14:K49)</f>
        <v>65.348617784992811</v>
      </c>
      <c r="L50" s="15">
        <f>SUM(L14:L49)</f>
        <v>109.23500978041257</v>
      </c>
      <c r="N50" s="3">
        <f>SUM(N14:N49)/29</f>
        <v>6.6861771882252966E-2</v>
      </c>
      <c r="P50" s="3">
        <f>(H50-B50)/B50</f>
        <v>8.5241005824498228E-2</v>
      </c>
      <c r="Q50" s="3">
        <f>(I50-C50)/C50</f>
        <v>0.32159282615579554</v>
      </c>
      <c r="S50" s="3">
        <f>(K50-E50)/E50</f>
        <v>-2.6765011808614941E-2</v>
      </c>
    </row>
    <row r="51" spans="1:19" x14ac:dyDescent="0.25">
      <c r="B51"/>
      <c r="C51"/>
      <c r="D51"/>
      <c r="E51"/>
      <c r="F51" s="2"/>
      <c r="H51" s="2"/>
      <c r="I51" s="2"/>
      <c r="J51" s="2"/>
      <c r="K51" s="2"/>
      <c r="L51" s="2"/>
    </row>
    <row r="52" spans="1:19" x14ac:dyDescent="0.25">
      <c r="B52"/>
      <c r="C52"/>
      <c r="D52"/>
      <c r="E52"/>
      <c r="F52" s="2"/>
      <c r="H52" s="2"/>
      <c r="I52" s="2"/>
      <c r="J52" s="2"/>
      <c r="K52" s="2"/>
      <c r="L52" s="2"/>
    </row>
    <row r="53" spans="1:19" x14ac:dyDescent="0.25">
      <c r="B53"/>
      <c r="C53"/>
      <c r="D53"/>
      <c r="E53"/>
      <c r="F53" s="2"/>
      <c r="H53" s="2"/>
      <c r="I53" s="2"/>
      <c r="J53" s="2"/>
      <c r="K53" s="2"/>
      <c r="L53" s="2"/>
    </row>
    <row r="54" spans="1:19" x14ac:dyDescent="0.25">
      <c r="B54"/>
      <c r="C54"/>
      <c r="D54"/>
      <c r="E54"/>
      <c r="F54" s="2"/>
      <c r="H54" s="2"/>
      <c r="I54" s="2"/>
      <c r="J54" s="2"/>
      <c r="K54" s="2"/>
      <c r="L54" s="2"/>
    </row>
    <row r="55" spans="1:19" x14ac:dyDescent="0.25">
      <c r="B55"/>
      <c r="C55"/>
      <c r="D55"/>
      <c r="E55"/>
      <c r="F55" s="2"/>
      <c r="H55" s="2"/>
      <c r="I55" s="2"/>
      <c r="J55" s="2"/>
      <c r="K55" s="2"/>
      <c r="L55" s="2"/>
    </row>
    <row r="56" spans="1:19" x14ac:dyDescent="0.25">
      <c r="B56"/>
      <c r="C56"/>
      <c r="D56"/>
      <c r="E56"/>
      <c r="F56" s="2"/>
      <c r="H56" s="2"/>
      <c r="I56" s="2"/>
      <c r="J56" s="2"/>
      <c r="K56" s="2"/>
      <c r="L56" s="2"/>
    </row>
    <row r="57" spans="1:19" x14ac:dyDescent="0.25">
      <c r="B57"/>
      <c r="C57"/>
      <c r="D57"/>
      <c r="E57"/>
      <c r="F57" s="2"/>
      <c r="H57" s="2"/>
      <c r="I57" s="2"/>
      <c r="J57" s="2"/>
      <c r="K57" s="2"/>
      <c r="L57" s="2"/>
    </row>
    <row r="58" spans="1:19" x14ac:dyDescent="0.25">
      <c r="B58"/>
      <c r="C58"/>
      <c r="D58"/>
      <c r="E58"/>
      <c r="F58" s="2"/>
      <c r="H58" s="2"/>
      <c r="I58" s="2"/>
      <c r="J58" s="2"/>
      <c r="K58" s="2"/>
      <c r="L58" s="2"/>
    </row>
    <row r="59" spans="1:19" x14ac:dyDescent="0.25">
      <c r="B59"/>
      <c r="C59"/>
      <c r="D59"/>
      <c r="E59"/>
      <c r="F59" s="2"/>
      <c r="H59" s="2"/>
      <c r="I59" s="2"/>
      <c r="J59" s="2"/>
      <c r="K59" s="2"/>
      <c r="L59" s="2"/>
    </row>
    <row r="60" spans="1:19" x14ac:dyDescent="0.25">
      <c r="B60"/>
      <c r="C60"/>
      <c r="D60"/>
      <c r="E60"/>
      <c r="F60" s="2"/>
      <c r="H60" s="2"/>
      <c r="I60" s="2"/>
      <c r="J60" s="2"/>
      <c r="K60" s="2"/>
      <c r="L60" s="2"/>
    </row>
    <row r="61" spans="1:19" x14ac:dyDescent="0.25">
      <c r="B61"/>
      <c r="C61"/>
      <c r="D61"/>
      <c r="E61"/>
      <c r="F61" s="2"/>
      <c r="H61" s="2"/>
      <c r="I61" s="2"/>
      <c r="J61" s="2"/>
      <c r="K61" s="2"/>
      <c r="L61" s="2"/>
    </row>
    <row r="62" spans="1:19" x14ac:dyDescent="0.25">
      <c r="B62"/>
      <c r="C62"/>
      <c r="D62"/>
      <c r="E62"/>
      <c r="F62" s="2"/>
      <c r="H62" s="2"/>
      <c r="I62" s="2"/>
      <c r="J62" s="2"/>
      <c r="K62" s="2"/>
      <c r="L62" s="2"/>
    </row>
    <row r="63" spans="1:19" x14ac:dyDescent="0.25">
      <c r="B63"/>
      <c r="C63"/>
      <c r="D63"/>
      <c r="E63"/>
      <c r="F63" s="2"/>
      <c r="H63" s="2"/>
      <c r="I63" s="2"/>
      <c r="J63" s="2"/>
      <c r="K63" s="2"/>
      <c r="L63" s="2"/>
    </row>
    <row r="64" spans="1:19" x14ac:dyDescent="0.25">
      <c r="B64"/>
      <c r="C64"/>
      <c r="D64"/>
      <c r="E64"/>
      <c r="F64" s="2"/>
      <c r="H64" s="2"/>
      <c r="I64" s="2"/>
      <c r="J64" s="2"/>
      <c r="K64" s="2"/>
      <c r="L64" s="2"/>
    </row>
    <row r="65" spans="2:12" x14ac:dyDescent="0.25">
      <c r="B65"/>
      <c r="C65"/>
      <c r="D65"/>
      <c r="E65"/>
      <c r="F65" s="2"/>
      <c r="H65" s="2"/>
      <c r="I65" s="2"/>
      <c r="J65" s="2"/>
      <c r="K65" s="2"/>
      <c r="L65" s="2"/>
    </row>
    <row r="66" spans="2:12" x14ac:dyDescent="0.25">
      <c r="B66"/>
      <c r="C66"/>
      <c r="D66"/>
      <c r="E66"/>
      <c r="F66" s="2"/>
      <c r="H66" s="2"/>
      <c r="I66" s="2"/>
      <c r="J66" s="2"/>
      <c r="K66" s="2"/>
      <c r="L66" s="2"/>
    </row>
    <row r="67" spans="2:12" x14ac:dyDescent="0.25">
      <c r="B67"/>
      <c r="C67"/>
      <c r="D67"/>
      <c r="E67"/>
      <c r="F67" s="2"/>
      <c r="H67" s="2"/>
      <c r="I67" s="2"/>
      <c r="J67" s="2"/>
      <c r="K67" s="2"/>
      <c r="L67" s="2"/>
    </row>
    <row r="68" spans="2:12" x14ac:dyDescent="0.25">
      <c r="B68"/>
      <c r="C68"/>
      <c r="D68"/>
      <c r="E68"/>
      <c r="F68" s="2"/>
      <c r="H68" s="2"/>
      <c r="I68" s="2"/>
      <c r="J68" s="2"/>
      <c r="K68" s="2"/>
      <c r="L68" s="2"/>
    </row>
    <row r="69" spans="2:12" x14ac:dyDescent="0.25">
      <c r="B69"/>
      <c r="C69"/>
      <c r="D69"/>
      <c r="E69"/>
      <c r="F69" s="2"/>
      <c r="H69" s="2"/>
      <c r="I69" s="2"/>
      <c r="J69" s="2"/>
      <c r="K69" s="2"/>
      <c r="L69" s="2"/>
    </row>
    <row r="70" spans="2:12" x14ac:dyDescent="0.25">
      <c r="B70"/>
      <c r="C70"/>
      <c r="D70"/>
      <c r="E70"/>
      <c r="F70" s="2"/>
      <c r="H70" s="2"/>
      <c r="I70" s="2"/>
      <c r="J70" s="2"/>
      <c r="K70" s="2"/>
      <c r="L70" s="2"/>
    </row>
    <row r="71" spans="2:12" x14ac:dyDescent="0.25">
      <c r="B71"/>
      <c r="C71"/>
      <c r="D71"/>
      <c r="E71"/>
      <c r="F71" s="2"/>
      <c r="H71" s="2"/>
      <c r="I71" s="2"/>
      <c r="J71" s="2"/>
      <c r="K71" s="2"/>
      <c r="L71" s="2"/>
    </row>
    <row r="72" spans="2:12" x14ac:dyDescent="0.25">
      <c r="B72"/>
      <c r="C72"/>
      <c r="D72"/>
      <c r="E72"/>
      <c r="F72" s="2"/>
      <c r="H72" s="2"/>
      <c r="I72" s="2"/>
      <c r="J72" s="2"/>
      <c r="K72" s="2"/>
      <c r="L72" s="2"/>
    </row>
    <row r="73" spans="2:12" x14ac:dyDescent="0.25">
      <c r="B73"/>
      <c r="C73"/>
      <c r="D73"/>
      <c r="E73"/>
      <c r="F73" s="2"/>
      <c r="H73" s="2"/>
      <c r="I73" s="2"/>
      <c r="J73" s="2"/>
      <c r="K73" s="2"/>
      <c r="L73" s="2"/>
    </row>
    <row r="74" spans="2:12" x14ac:dyDescent="0.25">
      <c r="B74"/>
      <c r="C74"/>
      <c r="D74"/>
      <c r="E74"/>
      <c r="F74" s="2"/>
      <c r="H74" s="2"/>
      <c r="I74" s="2"/>
      <c r="J74" s="2"/>
      <c r="K74" s="2"/>
      <c r="L74" s="2"/>
    </row>
    <row r="75" spans="2:12" x14ac:dyDescent="0.25">
      <c r="B75"/>
      <c r="C75"/>
      <c r="D75"/>
      <c r="E75"/>
      <c r="F75" s="2"/>
      <c r="H75" s="2"/>
      <c r="I75" s="2"/>
      <c r="J75" s="2"/>
      <c r="K75" s="2"/>
      <c r="L75" s="2"/>
    </row>
    <row r="76" spans="2:12" x14ac:dyDescent="0.25">
      <c r="B76"/>
      <c r="C76"/>
      <c r="D76"/>
      <c r="E76"/>
      <c r="F76" s="2"/>
      <c r="H76" s="2"/>
      <c r="I76" s="2"/>
      <c r="J76" s="2"/>
      <c r="K76" s="2"/>
      <c r="L76" s="2"/>
    </row>
    <row r="77" spans="2:12" x14ac:dyDescent="0.25">
      <c r="B77"/>
      <c r="C77"/>
      <c r="D77"/>
      <c r="E77"/>
      <c r="F77" s="2"/>
      <c r="H77" s="2"/>
      <c r="I77" s="2"/>
      <c r="J77" s="2"/>
      <c r="K77" s="2"/>
      <c r="L77" s="2"/>
    </row>
    <row r="78" spans="2:12" x14ac:dyDescent="0.25">
      <c r="B78"/>
      <c r="C78"/>
      <c r="D78"/>
      <c r="E78"/>
      <c r="F78" s="2"/>
      <c r="H78" s="2"/>
      <c r="I78" s="2"/>
      <c r="J78" s="2"/>
      <c r="K78" s="2"/>
      <c r="L78" s="2"/>
    </row>
    <row r="79" spans="2:12" x14ac:dyDescent="0.25">
      <c r="B79"/>
      <c r="C79"/>
      <c r="D79"/>
      <c r="E79"/>
      <c r="F79" s="2"/>
      <c r="H79" s="2"/>
      <c r="I79" s="2"/>
      <c r="J79" s="2"/>
      <c r="K79" s="2"/>
      <c r="L79" s="2"/>
    </row>
    <row r="80" spans="2:12" x14ac:dyDescent="0.25">
      <c r="B80"/>
      <c r="C80"/>
      <c r="D80"/>
      <c r="E80"/>
      <c r="F80" s="2"/>
      <c r="H80" s="2"/>
      <c r="I80" s="2"/>
      <c r="J80" s="2"/>
      <c r="K80" s="2"/>
      <c r="L80" s="2"/>
    </row>
    <row r="81" spans="2:12" x14ac:dyDescent="0.25">
      <c r="B81"/>
      <c r="C81"/>
      <c r="D81"/>
      <c r="E81"/>
      <c r="F81" s="2"/>
      <c r="H81" s="2"/>
      <c r="I81" s="2"/>
      <c r="J81" s="2"/>
      <c r="K81" s="2"/>
      <c r="L81" s="2"/>
    </row>
    <row r="82" spans="2:12" x14ac:dyDescent="0.25">
      <c r="B82"/>
      <c r="C82"/>
      <c r="D82"/>
      <c r="E82"/>
      <c r="F82" s="2"/>
      <c r="H82" s="2"/>
      <c r="I82" s="2"/>
      <c r="J82" s="2"/>
      <c r="K82" s="2"/>
      <c r="L82" s="2"/>
    </row>
    <row r="83" spans="2:12" x14ac:dyDescent="0.25">
      <c r="B83"/>
      <c r="C83"/>
      <c r="D83"/>
      <c r="E83"/>
      <c r="F83" s="2"/>
      <c r="H83" s="2"/>
      <c r="I83" s="2"/>
      <c r="J83" s="2"/>
      <c r="K83" s="2"/>
      <c r="L83" s="2"/>
    </row>
    <row r="84" spans="2:12" x14ac:dyDescent="0.25">
      <c r="B84"/>
      <c r="C84"/>
      <c r="D84"/>
      <c r="E84"/>
      <c r="F84" s="2"/>
      <c r="H84" s="2"/>
      <c r="I84" s="2"/>
      <c r="J84" s="2"/>
      <c r="K84" s="2"/>
      <c r="L84" s="2"/>
    </row>
    <row r="85" spans="2:12" x14ac:dyDescent="0.25">
      <c r="B85"/>
      <c r="C85"/>
      <c r="D85"/>
      <c r="E85"/>
      <c r="F85" s="2"/>
      <c r="H85" s="2"/>
      <c r="I85" s="2"/>
      <c r="J85" s="2"/>
      <c r="K85" s="2"/>
      <c r="L85" s="2"/>
    </row>
    <row r="86" spans="2:12" x14ac:dyDescent="0.25">
      <c r="B86"/>
      <c r="C86"/>
      <c r="D86"/>
      <c r="E86"/>
      <c r="F86" s="2"/>
      <c r="H86" s="2"/>
      <c r="I86" s="2"/>
      <c r="J86" s="2"/>
      <c r="K86" s="2"/>
      <c r="L86" s="2"/>
    </row>
    <row r="87" spans="2:12" x14ac:dyDescent="0.25">
      <c r="B87"/>
      <c r="C87"/>
      <c r="D87"/>
      <c r="E87"/>
      <c r="F87" s="2"/>
      <c r="H87" s="2"/>
      <c r="I87" s="2"/>
      <c r="J87" s="2"/>
      <c r="K87" s="2"/>
      <c r="L87" s="2"/>
    </row>
    <row r="88" spans="2:12" x14ac:dyDescent="0.25">
      <c r="B88"/>
      <c r="C88"/>
      <c r="D88"/>
      <c r="E88"/>
      <c r="F88" s="2"/>
      <c r="H88" s="2"/>
      <c r="I88" s="2"/>
      <c r="J88" s="2"/>
      <c r="K88" s="2"/>
      <c r="L88" s="2"/>
    </row>
    <row r="89" spans="2:12" x14ac:dyDescent="0.25">
      <c r="B89"/>
      <c r="C89"/>
      <c r="D89"/>
      <c r="E89"/>
      <c r="F89" s="2"/>
      <c r="H89" s="2"/>
      <c r="I89" s="2"/>
      <c r="J89" s="2"/>
      <c r="K89" s="2"/>
      <c r="L89" s="2"/>
    </row>
    <row r="90" spans="2:12" x14ac:dyDescent="0.25">
      <c r="B90"/>
      <c r="C90"/>
      <c r="D90"/>
      <c r="E90"/>
      <c r="F90" s="2"/>
      <c r="H90" s="2"/>
      <c r="I90" s="2"/>
      <c r="J90" s="2"/>
      <c r="K90" s="2"/>
      <c r="L90" s="2"/>
    </row>
    <row r="91" spans="2:12" x14ac:dyDescent="0.25">
      <c r="B91"/>
      <c r="C91"/>
      <c r="D91"/>
      <c r="E91"/>
      <c r="F91" s="2"/>
      <c r="H91" s="2"/>
      <c r="I91" s="2"/>
      <c r="J91" s="2"/>
      <c r="K91" s="2"/>
      <c r="L91" s="2"/>
    </row>
    <row r="92" spans="2:12" x14ac:dyDescent="0.25">
      <c r="B92"/>
      <c r="C92"/>
      <c r="D92"/>
      <c r="E92"/>
      <c r="F92" s="2"/>
      <c r="H92" s="2"/>
      <c r="I92" s="2"/>
      <c r="J92" s="2"/>
      <c r="K92" s="2"/>
      <c r="L92" s="2"/>
    </row>
    <row r="93" spans="2:12" x14ac:dyDescent="0.25">
      <c r="B93"/>
      <c r="C93"/>
      <c r="D93"/>
      <c r="E93"/>
      <c r="F93" s="2"/>
      <c r="H93" s="2"/>
      <c r="I93" s="2"/>
      <c r="J93" s="2"/>
      <c r="K93" s="2"/>
      <c r="L93" s="2"/>
    </row>
    <row r="94" spans="2:12" x14ac:dyDescent="0.25">
      <c r="B94"/>
      <c r="C94"/>
      <c r="D94"/>
      <c r="E94"/>
      <c r="F94" s="2"/>
      <c r="H94" s="2"/>
      <c r="I94" s="2"/>
      <c r="J94" s="2"/>
      <c r="K94" s="2"/>
      <c r="L94" s="2"/>
    </row>
    <row r="95" spans="2:12" x14ac:dyDescent="0.25">
      <c r="B95"/>
      <c r="C95"/>
      <c r="D95"/>
      <c r="E95"/>
      <c r="F95" s="2"/>
      <c r="H95" s="2"/>
      <c r="I95" s="2"/>
      <c r="J95" s="2"/>
      <c r="K95" s="2"/>
      <c r="L95" s="2"/>
    </row>
    <row r="96" spans="2:12" x14ac:dyDescent="0.25">
      <c r="B96"/>
      <c r="C96"/>
      <c r="D96"/>
      <c r="E96"/>
      <c r="F96" s="2"/>
      <c r="H96" s="2"/>
      <c r="I96" s="2"/>
      <c r="J96" s="2"/>
      <c r="K96" s="2"/>
      <c r="L96" s="2"/>
    </row>
    <row r="97" spans="2:12" x14ac:dyDescent="0.25">
      <c r="B97"/>
      <c r="C97"/>
      <c r="D97"/>
      <c r="E97"/>
      <c r="F97" s="2"/>
      <c r="H97" s="2"/>
      <c r="I97" s="2"/>
      <c r="J97" s="2"/>
      <c r="K97" s="2"/>
      <c r="L97" s="2"/>
    </row>
    <row r="98" spans="2:12" x14ac:dyDescent="0.25">
      <c r="B98"/>
      <c r="C98"/>
      <c r="D98"/>
      <c r="E98"/>
      <c r="F98" s="2"/>
      <c r="H98" s="2"/>
      <c r="I98" s="2"/>
      <c r="J98" s="2"/>
      <c r="K98" s="2"/>
      <c r="L98" s="2"/>
    </row>
    <row r="99" spans="2:12" x14ac:dyDescent="0.25">
      <c r="B99"/>
      <c r="C99"/>
      <c r="D99"/>
      <c r="E99"/>
      <c r="F99" s="2"/>
      <c r="H99" s="2"/>
      <c r="I99" s="2"/>
      <c r="J99" s="2"/>
      <c r="K99" s="2"/>
      <c r="L99" s="2"/>
    </row>
    <row r="100" spans="2:12" x14ac:dyDescent="0.25">
      <c r="B100"/>
      <c r="C100"/>
      <c r="D100"/>
      <c r="E100"/>
      <c r="F100" s="2"/>
      <c r="H100" s="2"/>
      <c r="I100" s="2"/>
      <c r="J100" s="2"/>
      <c r="K100" s="2"/>
      <c r="L100" s="2"/>
    </row>
    <row r="101" spans="2:12" x14ac:dyDescent="0.25">
      <c r="B101"/>
      <c r="C101"/>
      <c r="D101"/>
      <c r="E101"/>
      <c r="F101" s="2"/>
      <c r="H101" s="2"/>
      <c r="I101" s="2"/>
      <c r="J101" s="2"/>
      <c r="K101" s="2"/>
      <c r="L101" s="2"/>
    </row>
    <row r="102" spans="2:12" x14ac:dyDescent="0.25">
      <c r="B102"/>
      <c r="C102"/>
      <c r="D102"/>
      <c r="E102"/>
      <c r="F102" s="2"/>
      <c r="H102" s="2"/>
      <c r="I102" s="2"/>
      <c r="J102" s="2"/>
      <c r="K102" s="2"/>
      <c r="L102" s="2"/>
    </row>
    <row r="103" spans="2:12" x14ac:dyDescent="0.25">
      <c r="B103"/>
      <c r="C103"/>
      <c r="D103"/>
      <c r="E103"/>
      <c r="F103" s="2"/>
      <c r="H103" s="2"/>
      <c r="I103" s="2"/>
      <c r="J103" s="2"/>
      <c r="K103" s="2"/>
      <c r="L103" s="2"/>
    </row>
    <row r="104" spans="2:12" x14ac:dyDescent="0.25">
      <c r="B104"/>
      <c r="C104"/>
      <c r="D104"/>
      <c r="E104"/>
      <c r="F104" s="2"/>
      <c r="H104" s="2"/>
      <c r="I104" s="2"/>
      <c r="J104" s="2"/>
      <c r="K104" s="2"/>
      <c r="L104" s="2"/>
    </row>
    <row r="105" spans="2:12" x14ac:dyDescent="0.25">
      <c r="B105"/>
      <c r="C105"/>
      <c r="D105"/>
      <c r="E105"/>
      <c r="F105" s="2"/>
      <c r="H105" s="2"/>
      <c r="I105" s="2"/>
      <c r="J105" s="2"/>
      <c r="K105" s="2"/>
      <c r="L105" s="2"/>
    </row>
    <row r="106" spans="2:12" x14ac:dyDescent="0.25">
      <c r="B106"/>
      <c r="C106"/>
      <c r="D106"/>
      <c r="E106"/>
      <c r="F106" s="2"/>
      <c r="H106" s="2"/>
      <c r="I106" s="2"/>
      <c r="J106" s="2"/>
      <c r="K106" s="2"/>
      <c r="L106" s="2"/>
    </row>
    <row r="107" spans="2:12" x14ac:dyDescent="0.25">
      <c r="B107"/>
      <c r="C107"/>
      <c r="D107"/>
      <c r="E107"/>
      <c r="F107" s="2"/>
      <c r="H107" s="2"/>
      <c r="I107" s="2"/>
      <c r="J107" s="2"/>
      <c r="K107" s="2"/>
      <c r="L107" s="2"/>
    </row>
    <row r="108" spans="2:12" x14ac:dyDescent="0.25">
      <c r="B108"/>
      <c r="C108"/>
      <c r="D108"/>
      <c r="E108"/>
      <c r="F108" s="2"/>
      <c r="H108" s="2"/>
      <c r="I108" s="2"/>
      <c r="J108" s="2"/>
      <c r="K108" s="2"/>
      <c r="L108" s="2"/>
    </row>
    <row r="109" spans="2:12" x14ac:dyDescent="0.25">
      <c r="B109"/>
      <c r="C109"/>
      <c r="D109"/>
      <c r="E109"/>
      <c r="F109" s="2"/>
      <c r="H109" s="2"/>
      <c r="I109" s="2"/>
      <c r="J109" s="2"/>
      <c r="K109" s="2"/>
      <c r="L109" s="2"/>
    </row>
    <row r="110" spans="2:12" x14ac:dyDescent="0.25">
      <c r="B110"/>
      <c r="C110"/>
      <c r="D110"/>
      <c r="E110"/>
      <c r="F110" s="2"/>
      <c r="H110" s="2"/>
      <c r="I110" s="2"/>
      <c r="J110" s="2"/>
      <c r="K110" s="2"/>
      <c r="L110" s="2"/>
    </row>
    <row r="111" spans="2:12" x14ac:dyDescent="0.25">
      <c r="B111"/>
      <c r="C111"/>
      <c r="D111"/>
      <c r="E111"/>
      <c r="F111" s="2"/>
      <c r="H111" s="2"/>
      <c r="I111" s="2"/>
      <c r="J111" s="2"/>
      <c r="K111" s="2"/>
      <c r="L111" s="2"/>
    </row>
    <row r="112" spans="2:12" x14ac:dyDescent="0.25">
      <c r="B112"/>
      <c r="C112"/>
      <c r="D112"/>
      <c r="E112"/>
      <c r="F112" s="2"/>
      <c r="H112" s="2"/>
      <c r="I112" s="2"/>
      <c r="J112" s="2"/>
      <c r="K112" s="2"/>
      <c r="L112" s="2"/>
    </row>
    <row r="113" spans="2:12" x14ac:dyDescent="0.25">
      <c r="B113"/>
      <c r="C113"/>
      <c r="D113"/>
      <c r="E113"/>
      <c r="F113" s="2"/>
      <c r="H113" s="2"/>
      <c r="I113" s="2"/>
      <c r="J113" s="2"/>
      <c r="K113" s="2"/>
      <c r="L113" s="2"/>
    </row>
    <row r="114" spans="2:12" x14ac:dyDescent="0.25">
      <c r="B114"/>
      <c r="C114"/>
      <c r="D114"/>
      <c r="E114"/>
      <c r="F114" s="2"/>
      <c r="H114" s="2"/>
      <c r="I114" s="2"/>
      <c r="J114" s="2"/>
      <c r="K114" s="2"/>
      <c r="L114" s="2"/>
    </row>
    <row r="115" spans="2:12" x14ac:dyDescent="0.25">
      <c r="B115"/>
      <c r="C115"/>
      <c r="D115"/>
      <c r="E115"/>
      <c r="F115" s="2"/>
      <c r="H115" s="2"/>
      <c r="I115" s="2"/>
      <c r="J115" s="2"/>
      <c r="K115" s="2"/>
      <c r="L115" s="2"/>
    </row>
    <row r="116" spans="2:12" x14ac:dyDescent="0.25">
      <c r="B116"/>
      <c r="C116"/>
      <c r="D116"/>
      <c r="E116"/>
      <c r="F116" s="2"/>
      <c r="H116" s="2"/>
      <c r="I116" s="2"/>
      <c r="J116" s="2"/>
      <c r="K116" s="2"/>
      <c r="L116" s="2"/>
    </row>
    <row r="117" spans="2:12" x14ac:dyDescent="0.25">
      <c r="B117"/>
      <c r="C117"/>
      <c r="D117"/>
      <c r="E117"/>
      <c r="F117" s="2"/>
      <c r="H117" s="2"/>
      <c r="I117" s="2"/>
      <c r="J117" s="2"/>
      <c r="K117" s="2"/>
      <c r="L117" s="2"/>
    </row>
    <row r="118" spans="2:12" x14ac:dyDescent="0.25">
      <c r="B118"/>
      <c r="C118"/>
      <c r="D118"/>
      <c r="E118"/>
      <c r="F118" s="2"/>
      <c r="H118" s="2"/>
      <c r="I118" s="2"/>
      <c r="J118" s="2"/>
      <c r="K118" s="2"/>
      <c r="L118" s="2"/>
    </row>
    <row r="119" spans="2:12" x14ac:dyDescent="0.25">
      <c r="B119"/>
      <c r="C119"/>
      <c r="D119"/>
      <c r="E119"/>
      <c r="F119" s="2"/>
      <c r="H119" s="2"/>
      <c r="I119" s="2"/>
      <c r="J119" s="2"/>
      <c r="K119" s="2"/>
      <c r="L119" s="2"/>
    </row>
    <row r="120" spans="2:12" x14ac:dyDescent="0.25">
      <c r="B120"/>
      <c r="C120"/>
      <c r="D120"/>
      <c r="E120"/>
      <c r="F120" s="2"/>
      <c r="H120" s="2"/>
      <c r="I120" s="2"/>
      <c r="J120" s="2"/>
      <c r="K120" s="2"/>
      <c r="L120" s="2"/>
    </row>
    <row r="121" spans="2:12" x14ac:dyDescent="0.25">
      <c r="B121"/>
      <c r="C121"/>
      <c r="D121"/>
      <c r="E121"/>
      <c r="F121" s="2"/>
      <c r="H121" s="2"/>
      <c r="I121" s="2"/>
      <c r="J121" s="2"/>
      <c r="K121" s="2"/>
      <c r="L121" s="2"/>
    </row>
    <row r="122" spans="2:12" x14ac:dyDescent="0.25">
      <c r="B122"/>
      <c r="C122"/>
      <c r="D122"/>
      <c r="E122"/>
      <c r="F122" s="2"/>
      <c r="H122" s="2"/>
      <c r="I122" s="2"/>
      <c r="J122" s="2"/>
      <c r="K122" s="2"/>
      <c r="L122" s="2"/>
    </row>
    <row r="123" spans="2:12" x14ac:dyDescent="0.25">
      <c r="B123"/>
      <c r="C123"/>
      <c r="D123"/>
      <c r="E123"/>
      <c r="F123" s="2"/>
      <c r="H123" s="2"/>
      <c r="I123" s="2"/>
      <c r="J123" s="2"/>
      <c r="K123" s="2"/>
      <c r="L123" s="2"/>
    </row>
    <row r="124" spans="2:12" x14ac:dyDescent="0.25">
      <c r="B124"/>
      <c r="C124"/>
      <c r="D124"/>
      <c r="E124"/>
      <c r="F124" s="2"/>
      <c r="H124" s="2"/>
      <c r="I124" s="2"/>
      <c r="J124" s="2"/>
      <c r="K124" s="2"/>
      <c r="L124" s="2"/>
    </row>
    <row r="125" spans="2:12" x14ac:dyDescent="0.25">
      <c r="B125"/>
      <c r="C125"/>
      <c r="D125"/>
      <c r="E125"/>
      <c r="F125" s="2"/>
      <c r="H125" s="2"/>
      <c r="I125" s="2"/>
      <c r="J125" s="2"/>
      <c r="K125" s="2"/>
      <c r="L125" s="2"/>
    </row>
    <row r="126" spans="2:12" x14ac:dyDescent="0.25">
      <c r="B126"/>
      <c r="C126"/>
      <c r="D126"/>
      <c r="E126"/>
      <c r="F126" s="2"/>
      <c r="H126" s="2"/>
      <c r="I126" s="2"/>
      <c r="J126" s="2"/>
      <c r="K126" s="2"/>
      <c r="L126" s="2"/>
    </row>
    <row r="127" spans="2:12" x14ac:dyDescent="0.25">
      <c r="B127"/>
      <c r="C127"/>
      <c r="D127"/>
      <c r="E127"/>
      <c r="F127" s="2"/>
      <c r="H127" s="2"/>
      <c r="I127" s="2"/>
      <c r="J127" s="2"/>
      <c r="K127" s="2"/>
      <c r="L127" s="2"/>
    </row>
    <row r="128" spans="2:12" x14ac:dyDescent="0.25">
      <c r="B128"/>
      <c r="C128"/>
      <c r="D128"/>
      <c r="E128"/>
      <c r="F128" s="2"/>
      <c r="H128" s="2"/>
      <c r="I128" s="2"/>
      <c r="J128" s="2"/>
      <c r="K128" s="2"/>
      <c r="L128" s="2"/>
    </row>
    <row r="129" spans="2:12" x14ac:dyDescent="0.25">
      <c r="B129"/>
      <c r="C129"/>
      <c r="D129"/>
      <c r="E129"/>
      <c r="F129" s="2"/>
      <c r="H129" s="2"/>
      <c r="I129" s="2"/>
      <c r="J129" s="2"/>
      <c r="K129" s="2"/>
      <c r="L129" s="2"/>
    </row>
    <row r="130" spans="2:12" x14ac:dyDescent="0.25">
      <c r="B130"/>
      <c r="C130"/>
      <c r="D130"/>
      <c r="E130"/>
      <c r="F130" s="2"/>
      <c r="H130" s="2"/>
      <c r="I130" s="2"/>
      <c r="J130" s="2"/>
      <c r="K130" s="2"/>
      <c r="L130" s="2"/>
    </row>
    <row r="131" spans="2:12" x14ac:dyDescent="0.25">
      <c r="B131"/>
      <c r="C131"/>
      <c r="D131"/>
      <c r="E131"/>
      <c r="F131" s="2"/>
      <c r="H131" s="2"/>
      <c r="I131" s="2"/>
      <c r="J131" s="2"/>
      <c r="K131" s="2"/>
      <c r="L131" s="2"/>
    </row>
    <row r="132" spans="2:12" x14ac:dyDescent="0.25">
      <c r="B132"/>
      <c r="C132"/>
      <c r="D132"/>
      <c r="E132"/>
      <c r="F132" s="2"/>
      <c r="H132" s="2"/>
      <c r="I132" s="2"/>
      <c r="J132" s="2"/>
      <c r="K132" s="2"/>
      <c r="L132" s="2"/>
    </row>
    <row r="133" spans="2:12" x14ac:dyDescent="0.25">
      <c r="B133"/>
      <c r="C133"/>
      <c r="D133"/>
      <c r="E133"/>
      <c r="F133" s="2"/>
      <c r="H133" s="2"/>
      <c r="I133" s="2"/>
      <c r="J133" s="2"/>
      <c r="K133" s="2"/>
      <c r="L133" s="2"/>
    </row>
    <row r="134" spans="2:12" x14ac:dyDescent="0.25">
      <c r="B134"/>
      <c r="C134"/>
      <c r="D134"/>
      <c r="E134"/>
      <c r="F134" s="2"/>
      <c r="H134" s="2"/>
      <c r="I134" s="2"/>
      <c r="J134" s="2"/>
      <c r="K134" s="2"/>
      <c r="L134" s="2"/>
    </row>
    <row r="135" spans="2:12" x14ac:dyDescent="0.25">
      <c r="B135"/>
      <c r="C135"/>
      <c r="D135"/>
      <c r="E135"/>
      <c r="F135" s="2"/>
      <c r="H135" s="2"/>
      <c r="I135" s="2"/>
      <c r="J135" s="2"/>
      <c r="K135" s="2"/>
      <c r="L135" s="2"/>
    </row>
    <row r="136" spans="2:12" x14ac:dyDescent="0.25">
      <c r="B136"/>
      <c r="C136"/>
      <c r="D136"/>
      <c r="E136"/>
      <c r="F136" s="2"/>
      <c r="H136" s="2"/>
      <c r="I136" s="2"/>
      <c r="J136" s="2"/>
      <c r="K136" s="2"/>
      <c r="L136" s="2"/>
    </row>
    <row r="137" spans="2:12" x14ac:dyDescent="0.25">
      <c r="B137"/>
      <c r="C137"/>
      <c r="D137"/>
      <c r="E137"/>
      <c r="F137" s="2"/>
      <c r="H137" s="2"/>
      <c r="I137" s="2"/>
      <c r="J137" s="2"/>
      <c r="K137" s="2"/>
      <c r="L137" s="2"/>
    </row>
    <row r="138" spans="2:12" x14ac:dyDescent="0.25">
      <c r="B138"/>
      <c r="C138"/>
      <c r="D138"/>
      <c r="E138"/>
      <c r="F138" s="2"/>
      <c r="H138" s="2"/>
      <c r="I138" s="2"/>
      <c r="J138" s="2"/>
      <c r="K138" s="2"/>
      <c r="L138" s="2"/>
    </row>
    <row r="139" spans="2:12" x14ac:dyDescent="0.25">
      <c r="B139"/>
      <c r="C139"/>
      <c r="D139"/>
      <c r="E139"/>
      <c r="F139" s="2"/>
      <c r="H139" s="2"/>
      <c r="I139" s="2"/>
      <c r="J139" s="2"/>
      <c r="K139" s="2"/>
      <c r="L139" s="2"/>
    </row>
    <row r="140" spans="2:12" x14ac:dyDescent="0.25">
      <c r="B140"/>
      <c r="C140"/>
      <c r="D140"/>
      <c r="E140"/>
      <c r="F140" s="2"/>
      <c r="H140" s="2"/>
      <c r="I140" s="2"/>
      <c r="J140" s="2"/>
      <c r="K140" s="2"/>
      <c r="L140" s="2"/>
    </row>
    <row r="141" spans="2:12" x14ac:dyDescent="0.25">
      <c r="B141"/>
      <c r="C141"/>
      <c r="D141"/>
      <c r="E141"/>
      <c r="F141" s="2"/>
      <c r="H141" s="2"/>
      <c r="I141" s="2"/>
      <c r="J141" s="2"/>
      <c r="K141" s="2"/>
      <c r="L141" s="2"/>
    </row>
    <row r="142" spans="2:12" x14ac:dyDescent="0.25">
      <c r="B142"/>
      <c r="C142"/>
      <c r="D142"/>
      <c r="E142"/>
      <c r="F142" s="2"/>
      <c r="H142" s="2"/>
      <c r="I142" s="2"/>
      <c r="J142" s="2"/>
      <c r="K142" s="2"/>
      <c r="L142" s="2"/>
    </row>
    <row r="143" spans="2:12" x14ac:dyDescent="0.25">
      <c r="B143"/>
      <c r="C143"/>
      <c r="D143"/>
      <c r="E143"/>
      <c r="F143" s="2"/>
    </row>
    <row r="144" spans="2:12" x14ac:dyDescent="0.25">
      <c r="B144"/>
      <c r="C144"/>
      <c r="D144"/>
      <c r="E144"/>
      <c r="F144" s="2"/>
    </row>
    <row r="145" spans="2:6" x14ac:dyDescent="0.25">
      <c r="B145"/>
      <c r="C145"/>
      <c r="D145"/>
      <c r="E145"/>
      <c r="F145" s="2"/>
    </row>
    <row r="146" spans="2:6" x14ac:dyDescent="0.25">
      <c r="B146"/>
      <c r="C146"/>
      <c r="D146"/>
      <c r="E146"/>
      <c r="F146" s="2"/>
    </row>
    <row r="147" spans="2:6" x14ac:dyDescent="0.25">
      <c r="B147"/>
      <c r="C147"/>
      <c r="D147"/>
      <c r="E147"/>
      <c r="F147" s="2"/>
    </row>
    <row r="148" spans="2:6" x14ac:dyDescent="0.25">
      <c r="B148"/>
      <c r="C148"/>
      <c r="D148"/>
      <c r="E148"/>
      <c r="F148" s="2"/>
    </row>
    <row r="149" spans="2:6" x14ac:dyDescent="0.25">
      <c r="B149"/>
      <c r="C149"/>
      <c r="D149"/>
      <c r="E149"/>
      <c r="F149" s="2"/>
    </row>
    <row r="150" spans="2:6" x14ac:dyDescent="0.25">
      <c r="B150"/>
      <c r="C150"/>
      <c r="D150"/>
      <c r="E150"/>
      <c r="F150" s="2"/>
    </row>
    <row r="151" spans="2:6" x14ac:dyDescent="0.25">
      <c r="B151"/>
      <c r="C151"/>
      <c r="D151"/>
      <c r="E151"/>
      <c r="F151" s="2"/>
    </row>
    <row r="152" spans="2:6" x14ac:dyDescent="0.25">
      <c r="B152"/>
      <c r="C152"/>
      <c r="D152"/>
      <c r="E152"/>
      <c r="F152" s="2"/>
    </row>
    <row r="153" spans="2:6" x14ac:dyDescent="0.25">
      <c r="B153"/>
      <c r="C153"/>
      <c r="D153"/>
      <c r="E153"/>
      <c r="F153" s="2"/>
    </row>
    <row r="154" spans="2:6" x14ac:dyDescent="0.25">
      <c r="B154"/>
      <c r="C154"/>
      <c r="D154"/>
      <c r="E154"/>
      <c r="F154" s="2"/>
    </row>
    <row r="155" spans="2:6" x14ac:dyDescent="0.25">
      <c r="B155"/>
      <c r="C155"/>
      <c r="D155"/>
      <c r="E155"/>
      <c r="F155" s="2"/>
    </row>
    <row r="156" spans="2:6" x14ac:dyDescent="0.25">
      <c r="B156"/>
      <c r="C156"/>
      <c r="D156"/>
      <c r="E156"/>
      <c r="F156" s="2"/>
    </row>
    <row r="157" spans="2:6" x14ac:dyDescent="0.25">
      <c r="B157"/>
      <c r="C157"/>
      <c r="D157"/>
      <c r="E157"/>
      <c r="F157" s="2"/>
    </row>
    <row r="158" spans="2:6" x14ac:dyDescent="0.25">
      <c r="B158"/>
      <c r="C158"/>
      <c r="D158"/>
      <c r="E158"/>
      <c r="F158" s="2"/>
    </row>
    <row r="159" spans="2:6" x14ac:dyDescent="0.25">
      <c r="B159"/>
      <c r="C159"/>
      <c r="D159"/>
      <c r="E159"/>
      <c r="F159" s="2"/>
    </row>
    <row r="160" spans="2:6" x14ac:dyDescent="0.25">
      <c r="B160"/>
      <c r="C160"/>
      <c r="D160"/>
      <c r="E160"/>
      <c r="F160" s="2"/>
    </row>
    <row r="161" spans="2:6" x14ac:dyDescent="0.25">
      <c r="B161"/>
      <c r="C161"/>
      <c r="D161"/>
      <c r="E161"/>
      <c r="F161" s="2"/>
    </row>
    <row r="162" spans="2:6" x14ac:dyDescent="0.25">
      <c r="B162"/>
      <c r="C162"/>
      <c r="D162"/>
      <c r="E162"/>
      <c r="F162" s="2"/>
    </row>
    <row r="163" spans="2:6" x14ac:dyDescent="0.25">
      <c r="B163"/>
      <c r="C163"/>
      <c r="D163"/>
      <c r="E163"/>
      <c r="F163" s="2"/>
    </row>
    <row r="164" spans="2:6" x14ac:dyDescent="0.25">
      <c r="B164"/>
      <c r="C164"/>
      <c r="D164"/>
      <c r="E164"/>
      <c r="F164" s="2"/>
    </row>
    <row r="165" spans="2:6" x14ac:dyDescent="0.25">
      <c r="B165"/>
      <c r="C165"/>
      <c r="D165"/>
      <c r="E165"/>
      <c r="F165" s="2"/>
    </row>
    <row r="166" spans="2:6" x14ac:dyDescent="0.25">
      <c r="B166"/>
      <c r="C166"/>
      <c r="D166"/>
      <c r="E166"/>
      <c r="F166" s="2"/>
    </row>
    <row r="167" spans="2:6" x14ac:dyDescent="0.25">
      <c r="B167"/>
      <c r="C167"/>
      <c r="D167"/>
      <c r="E167"/>
      <c r="F167" s="2"/>
    </row>
    <row r="168" spans="2:6" x14ac:dyDescent="0.25">
      <c r="B168"/>
      <c r="C168"/>
      <c r="D168"/>
      <c r="E168"/>
      <c r="F168" s="2"/>
    </row>
    <row r="169" spans="2:6" x14ac:dyDescent="0.25">
      <c r="B169"/>
      <c r="C169"/>
      <c r="D169"/>
      <c r="E169"/>
      <c r="F169" s="2"/>
    </row>
    <row r="170" spans="2:6" x14ac:dyDescent="0.25">
      <c r="B170"/>
      <c r="C170"/>
      <c r="D170"/>
      <c r="E170"/>
      <c r="F170" s="2"/>
    </row>
    <row r="171" spans="2:6" x14ac:dyDescent="0.25">
      <c r="B171"/>
      <c r="C171"/>
      <c r="D171"/>
      <c r="E171"/>
      <c r="F171" s="2"/>
    </row>
    <row r="172" spans="2:6" x14ac:dyDescent="0.25">
      <c r="B172"/>
      <c r="C172"/>
      <c r="D172"/>
      <c r="E172"/>
      <c r="F172" s="2"/>
    </row>
    <row r="173" spans="2:6" x14ac:dyDescent="0.25">
      <c r="B173"/>
      <c r="C173"/>
      <c r="D173"/>
      <c r="E173"/>
      <c r="F173" s="2"/>
    </row>
    <row r="174" spans="2:6" x14ac:dyDescent="0.25">
      <c r="B174"/>
      <c r="C174"/>
      <c r="D174"/>
      <c r="E174"/>
      <c r="F174" s="2"/>
    </row>
    <row r="175" spans="2:6" x14ac:dyDescent="0.25">
      <c r="B175"/>
      <c r="C175"/>
      <c r="D175"/>
      <c r="E175"/>
      <c r="F175" s="2"/>
    </row>
    <row r="176" spans="2:6" x14ac:dyDescent="0.25">
      <c r="B176"/>
      <c r="C176"/>
      <c r="D176"/>
      <c r="E176"/>
      <c r="F176" s="2"/>
    </row>
    <row r="177" spans="2:6" x14ac:dyDescent="0.25">
      <c r="B177"/>
      <c r="C177"/>
      <c r="D177"/>
      <c r="E177"/>
      <c r="F177" s="2"/>
    </row>
    <row r="178" spans="2:6" x14ac:dyDescent="0.25">
      <c r="B178"/>
      <c r="C178"/>
      <c r="D178"/>
      <c r="E178"/>
      <c r="F178" s="2"/>
    </row>
    <row r="179" spans="2:6" x14ac:dyDescent="0.25">
      <c r="B179"/>
      <c r="C179"/>
      <c r="D179"/>
      <c r="E179"/>
      <c r="F179" s="2"/>
    </row>
    <row r="180" spans="2:6" x14ac:dyDescent="0.25">
      <c r="B180"/>
      <c r="C180"/>
      <c r="D180"/>
      <c r="E180"/>
      <c r="F180" s="2"/>
    </row>
    <row r="181" spans="2:6" x14ac:dyDescent="0.25">
      <c r="B181"/>
      <c r="C181"/>
      <c r="D181"/>
      <c r="E181"/>
      <c r="F181" s="2"/>
    </row>
    <row r="182" spans="2:6" x14ac:dyDescent="0.25">
      <c r="B182"/>
      <c r="C182"/>
      <c r="D182"/>
      <c r="E182"/>
      <c r="F182" s="2"/>
    </row>
    <row r="183" spans="2:6" x14ac:dyDescent="0.25">
      <c r="B183"/>
      <c r="C183"/>
      <c r="D183"/>
      <c r="E183"/>
      <c r="F183" s="2"/>
    </row>
    <row r="184" spans="2:6" x14ac:dyDescent="0.25">
      <c r="B184"/>
      <c r="C184"/>
      <c r="D184"/>
      <c r="E184"/>
      <c r="F184" s="2"/>
    </row>
    <row r="185" spans="2:6" x14ac:dyDescent="0.25">
      <c r="B185"/>
      <c r="C185"/>
      <c r="D185"/>
      <c r="E185"/>
      <c r="F185" s="2"/>
    </row>
    <row r="186" spans="2:6" x14ac:dyDescent="0.25">
      <c r="B186"/>
      <c r="C186"/>
      <c r="D186"/>
      <c r="E186"/>
      <c r="F186" s="2"/>
    </row>
    <row r="187" spans="2:6" x14ac:dyDescent="0.25">
      <c r="B187"/>
      <c r="C187"/>
      <c r="D187"/>
      <c r="E187"/>
      <c r="F187" s="2"/>
    </row>
    <row r="188" spans="2:6" x14ac:dyDescent="0.25">
      <c r="B188"/>
      <c r="C188"/>
      <c r="D188"/>
      <c r="E188"/>
      <c r="F188" s="2"/>
    </row>
    <row r="189" spans="2:6" x14ac:dyDescent="0.25">
      <c r="B189"/>
      <c r="C189"/>
      <c r="D189"/>
      <c r="E189"/>
      <c r="F189" s="2"/>
    </row>
    <row r="190" spans="2:6" x14ac:dyDescent="0.25">
      <c r="B190"/>
      <c r="C190"/>
      <c r="D190"/>
      <c r="E190"/>
      <c r="F190" s="2"/>
    </row>
    <row r="191" spans="2:6" x14ac:dyDescent="0.25">
      <c r="B191"/>
      <c r="C191"/>
      <c r="D191"/>
      <c r="E191"/>
      <c r="F191" s="2"/>
    </row>
    <row r="192" spans="2:6" x14ac:dyDescent="0.25">
      <c r="B192"/>
      <c r="C192"/>
      <c r="D192"/>
      <c r="E192"/>
      <c r="F192" s="2"/>
    </row>
    <row r="193" spans="2:6" x14ac:dyDescent="0.25">
      <c r="B193"/>
      <c r="C193"/>
      <c r="D193"/>
      <c r="E193"/>
      <c r="F193" s="2"/>
    </row>
    <row r="194" spans="2:6" x14ac:dyDescent="0.25">
      <c r="B194"/>
      <c r="C194"/>
      <c r="D194"/>
      <c r="E194"/>
      <c r="F194" s="2"/>
    </row>
    <row r="195" spans="2:6" x14ac:dyDescent="0.25">
      <c r="B195"/>
      <c r="C195"/>
      <c r="D195"/>
      <c r="E195"/>
      <c r="F195" s="2"/>
    </row>
    <row r="196" spans="2:6" x14ac:dyDescent="0.25">
      <c r="B196"/>
      <c r="C196"/>
      <c r="D196"/>
      <c r="E196"/>
      <c r="F196" s="2"/>
    </row>
    <row r="197" spans="2:6" x14ac:dyDescent="0.25">
      <c r="B197"/>
      <c r="C197"/>
      <c r="D197"/>
      <c r="E197"/>
      <c r="F197" s="2"/>
    </row>
    <row r="198" spans="2:6" x14ac:dyDescent="0.25">
      <c r="B198"/>
      <c r="C198"/>
      <c r="D198"/>
      <c r="E198"/>
      <c r="F198" s="2"/>
    </row>
    <row r="199" spans="2:6" x14ac:dyDescent="0.25">
      <c r="B199"/>
      <c r="C199"/>
      <c r="D199"/>
      <c r="E199"/>
      <c r="F199" s="2"/>
    </row>
    <row r="200" spans="2:6" x14ac:dyDescent="0.25">
      <c r="B200"/>
      <c r="C200"/>
      <c r="D200"/>
      <c r="E200"/>
      <c r="F200" s="2"/>
    </row>
    <row r="201" spans="2:6" x14ac:dyDescent="0.25">
      <c r="B201"/>
      <c r="C201"/>
      <c r="D201"/>
      <c r="E201"/>
      <c r="F201" s="2"/>
    </row>
    <row r="202" spans="2:6" x14ac:dyDescent="0.25">
      <c r="B202"/>
      <c r="C202"/>
      <c r="D202"/>
      <c r="E202"/>
      <c r="F202" s="2"/>
    </row>
    <row r="203" spans="2:6" x14ac:dyDescent="0.25">
      <c r="B203"/>
      <c r="C203"/>
      <c r="D203"/>
      <c r="E203"/>
      <c r="F203" s="2"/>
    </row>
    <row r="204" spans="2:6" x14ac:dyDescent="0.25">
      <c r="B204"/>
      <c r="C204"/>
      <c r="D204"/>
      <c r="E204"/>
      <c r="F204" s="2"/>
    </row>
    <row r="205" spans="2:6" x14ac:dyDescent="0.25">
      <c r="B205"/>
      <c r="C205"/>
      <c r="D205"/>
      <c r="E205"/>
      <c r="F205" s="2"/>
    </row>
    <row r="206" spans="2:6" x14ac:dyDescent="0.25">
      <c r="B206"/>
      <c r="C206"/>
      <c r="D206"/>
      <c r="E206"/>
      <c r="F206" s="2"/>
    </row>
    <row r="207" spans="2:6" x14ac:dyDescent="0.25">
      <c r="B207"/>
      <c r="C207"/>
      <c r="D207"/>
      <c r="E207"/>
      <c r="F207" s="2"/>
    </row>
    <row r="208" spans="2:6" x14ac:dyDescent="0.25">
      <c r="B208"/>
      <c r="C208"/>
      <c r="D208"/>
      <c r="E208"/>
      <c r="F208" s="2"/>
    </row>
    <row r="209" spans="2:6" x14ac:dyDescent="0.25">
      <c r="B209"/>
      <c r="C209"/>
      <c r="D209"/>
      <c r="E209"/>
      <c r="F209" s="2"/>
    </row>
    <row r="210" spans="2:6" x14ac:dyDescent="0.25">
      <c r="B210"/>
      <c r="C210"/>
      <c r="D210"/>
      <c r="E210"/>
      <c r="F210" s="2"/>
    </row>
    <row r="211" spans="2:6" x14ac:dyDescent="0.25">
      <c r="B211"/>
      <c r="C211"/>
      <c r="D211"/>
      <c r="E211"/>
      <c r="F211" s="2"/>
    </row>
    <row r="212" spans="2:6" x14ac:dyDescent="0.25">
      <c r="B212"/>
      <c r="C212"/>
      <c r="D212"/>
      <c r="E212"/>
      <c r="F212" s="2"/>
    </row>
    <row r="213" spans="2:6" x14ac:dyDescent="0.25">
      <c r="B213"/>
      <c r="C213"/>
      <c r="D213"/>
      <c r="E213"/>
      <c r="F213" s="2"/>
    </row>
    <row r="214" spans="2:6" x14ac:dyDescent="0.25">
      <c r="B214"/>
      <c r="C214"/>
      <c r="D214"/>
      <c r="E214"/>
      <c r="F214" s="2"/>
    </row>
    <row r="215" spans="2:6" x14ac:dyDescent="0.25">
      <c r="B215"/>
      <c r="C215"/>
      <c r="D215"/>
      <c r="E215"/>
      <c r="F215" s="2"/>
    </row>
    <row r="216" spans="2:6" x14ac:dyDescent="0.25">
      <c r="B216"/>
      <c r="C216"/>
      <c r="D216"/>
      <c r="E216"/>
      <c r="F216" s="2"/>
    </row>
    <row r="217" spans="2:6" x14ac:dyDescent="0.25">
      <c r="B217"/>
      <c r="C217"/>
      <c r="D217"/>
      <c r="E217"/>
      <c r="F217" s="2"/>
    </row>
    <row r="218" spans="2:6" x14ac:dyDescent="0.25">
      <c r="B218"/>
      <c r="C218"/>
      <c r="D218"/>
      <c r="E218"/>
      <c r="F218" s="2"/>
    </row>
  </sheetData>
  <sheetProtection password="C350" sheet="1" objects="1" scenarios="1"/>
  <mergeCells count="3">
    <mergeCell ref="B11:F11"/>
    <mergeCell ref="H11:L11"/>
    <mergeCell ref="Q11:R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2021-11-06T05:55:31Z</dcterms:created>
  <dcterms:modified xsi:type="dcterms:W3CDTF">2021-11-06T06:04:11Z</dcterms:modified>
</cp:coreProperties>
</file>